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Default Extension="vml" ContentType="application/vnd.openxmlformats-officedocument.vmlDrawing"/>
  <Override PartName="/xl/worksheets/sheet30.xml" ContentType="application/vnd.openxmlformats-officedocument.spreadsheetml.worksheet+xml"/>
  <Override PartName="/xl/comments30.xml" ContentType="application/vnd.openxmlformats-officedocument.spreadsheetml.comments+xml"/>
  <Override PartName="/xl/drawings/drawing1.xml" ContentType="application/vnd.openxmlformats-officedocument.drawing+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75" windowWidth="10515" windowHeight="11640" tabRatio="816" firstSheet="22" activeTab="30"/>
  </bookViews>
  <sheets>
    <sheet name="Dencker" sheetId="1" r:id="rId1"/>
    <sheet name="Collins" sheetId="2" r:id="rId2"/>
    <sheet name="Graham" sheetId="3" r:id="rId3"/>
    <sheet name="Whangamoa lwr" sheetId="4" r:id="rId4"/>
    <sheet name="Whangamoa upr" sheetId="5" r:id="rId5"/>
    <sheet name="Pritchards" sheetId="6" r:id="rId6"/>
    <sheet name="Lud lwr" sheetId="7" r:id="rId7"/>
    <sheet name="Lud upr" sheetId="8" r:id="rId8"/>
    <sheet name="Teal upr" sheetId="9" r:id="rId9"/>
    <sheet name="Wakapuaka lwr" sheetId="10" r:id="rId10"/>
    <sheet name="Wakapuaka mid" sheetId="11" r:id="rId11"/>
    <sheet name="Wakapuaka upr" sheetId="12" r:id="rId12"/>
    <sheet name="Groom" sheetId="13" r:id="rId13"/>
    <sheet name="Sharland" sheetId="14" r:id="rId14"/>
    <sheet name="Maitai lwr" sheetId="15" r:id="rId15"/>
    <sheet name="Maitai u_m" sheetId="16" r:id="rId16"/>
    <sheet name="Maitai upr" sheetId="17" r:id="rId17"/>
    <sheet name="Brook lwr" sheetId="18" r:id="rId18"/>
    <sheet name="Brook upr" sheetId="19" r:id="rId19"/>
    <sheet name="Hillwood" sheetId="20" r:id="rId20"/>
    <sheet name="Todds" sheetId="21" r:id="rId21"/>
    <sheet name="York" sheetId="22" r:id="rId22"/>
    <sheet name="Jenkins lwr" sheetId="23" r:id="rId23"/>
    <sheet name="Poorman lwr" sheetId="24" r:id="rId24"/>
    <sheet name="Poorman upr" sheetId="25" r:id="rId25"/>
    <sheet name="Orphanage Ck" sheetId="26" r:id="rId26"/>
    <sheet name="Saxton Ck" sheetId="27" r:id="rId27"/>
    <sheet name="PRIMER" sheetId="28" r:id="rId28"/>
    <sheet name="Combined Score Calcs" sheetId="29" r:id="rId29"/>
    <sheet name="Summary" sheetId="30" r:id="rId30"/>
    <sheet name="Instructions" sheetId="31" r:id="rId31"/>
  </sheets>
  <definedNames/>
  <calcPr fullCalcOnLoad="1"/>
</workbook>
</file>

<file path=xl/comments29.xml><?xml version="1.0" encoding="utf-8"?>
<comments xmlns="http://schemas.openxmlformats.org/spreadsheetml/2006/main">
  <authors>
    <author>joeh</author>
  </authors>
  <commentList>
    <comment ref="C27" authorId="0">
      <text>
        <r>
          <rPr>
            <b/>
            <sz val="10"/>
            <rFont val="Tahoma"/>
            <family val="0"/>
          </rPr>
          <t>joeh:</t>
        </r>
        <r>
          <rPr>
            <sz val="10"/>
            <rFont val="Tahoma"/>
            <family val="0"/>
          </rPr>
          <t xml:space="preserve">
Changed from 1 to 0.5</t>
        </r>
      </text>
    </comment>
  </commentList>
</comments>
</file>

<file path=xl/comments30.xml><?xml version="1.0" encoding="utf-8"?>
<comments xmlns="http://schemas.openxmlformats.org/spreadsheetml/2006/main">
  <authors>
    <author>joeh</author>
  </authors>
  <commentList>
    <comment ref="C6" authorId="0">
      <text>
        <r>
          <rPr>
            <b/>
            <sz val="10"/>
            <rFont val="Tahoma"/>
            <family val="0"/>
          </rPr>
          <t>joeh:</t>
        </r>
        <r>
          <rPr>
            <sz val="10"/>
            <rFont val="Tahoma"/>
            <family val="0"/>
          </rPr>
          <t xml:space="preserve">
As shown in Cawthron Report No. 1349, Wilkenson 2007.</t>
        </r>
      </text>
    </comment>
    <comment ref="C5" authorId="0">
      <text>
        <r>
          <rPr>
            <b/>
            <sz val="10"/>
            <rFont val="Tahoma"/>
            <family val="0"/>
          </rPr>
          <t>joeh:</t>
        </r>
        <r>
          <rPr>
            <sz val="10"/>
            <rFont val="Tahoma"/>
            <family val="0"/>
          </rPr>
          <t xml:space="preserve">
As shown in Cawthron Report No. 1349, Wilkenson 2007.</t>
        </r>
      </text>
    </comment>
    <comment ref="C7" authorId="0">
      <text>
        <r>
          <rPr>
            <b/>
            <sz val="10"/>
            <rFont val="Tahoma"/>
            <family val="0"/>
          </rPr>
          <t>joeh:</t>
        </r>
        <r>
          <rPr>
            <sz val="10"/>
            <rFont val="Tahoma"/>
            <family val="0"/>
          </rPr>
          <t xml:space="preserve">
As calculated by automated method</t>
        </r>
      </text>
    </comment>
    <comment ref="AI123" authorId="0">
      <text>
        <r>
          <rPr>
            <b/>
            <sz val="10"/>
            <rFont val="Tahoma"/>
            <family val="0"/>
          </rPr>
          <t>joeh:</t>
        </r>
        <r>
          <rPr>
            <sz val="10"/>
            <rFont val="Tahoma"/>
            <family val="0"/>
          </rPr>
          <t xml:space="preserve">
Dencker
2001 very high E.coli
2002 slightly lower grades for N, DO, E.coli and Macroinvertes
2003 lower grades for DO, water clarity and NTU, E.coli and macroinvertes, and no periphyton score
2004 lower grades for N, water clarity, NTU, and E.coli 
2005 slightly lower DO</t>
        </r>
      </text>
    </comment>
    <comment ref="AI106" authorId="0">
      <text>
        <r>
          <rPr>
            <b/>
            <sz val="10"/>
            <rFont val="Tahoma"/>
            <family val="0"/>
          </rPr>
          <t>joeh:</t>
        </r>
        <r>
          <rPr>
            <sz val="10"/>
            <rFont val="Tahoma"/>
            <family val="0"/>
          </rPr>
          <t xml:space="preserve">
Collins
2006 Higher grade for N</t>
        </r>
      </text>
    </comment>
    <comment ref="AI89" authorId="0">
      <text>
        <r>
          <rPr>
            <b/>
            <sz val="10"/>
            <rFont val="Tahoma"/>
            <family val="0"/>
          </rPr>
          <t>joeh:</t>
        </r>
        <r>
          <rPr>
            <sz val="10"/>
            <rFont val="Tahoma"/>
            <family val="0"/>
          </rPr>
          <t xml:space="preserve">
Graham
2004 lower grades for DO, water clarity and NTU
2006 lower water clarity and Periphyton</t>
        </r>
      </text>
    </comment>
    <comment ref="S123" authorId="0">
      <text>
        <r>
          <rPr>
            <b/>
            <sz val="10"/>
            <rFont val="Tahoma"/>
            <family val="0"/>
          </rPr>
          <t>joeh:</t>
        </r>
        <r>
          <rPr>
            <sz val="10"/>
            <rFont val="Tahoma"/>
            <family val="0"/>
          </rPr>
          <t xml:space="preserve">
Maitai Lower
2004 Higer grade for N, DO, black disc, MCI and periphton, but lower grade for E.coli</t>
        </r>
      </text>
    </comment>
  </commentList>
</comments>
</file>

<file path=xl/sharedStrings.xml><?xml version="1.0" encoding="utf-8"?>
<sst xmlns="http://schemas.openxmlformats.org/spreadsheetml/2006/main" count="4022" uniqueCount="273">
  <si>
    <t>E</t>
  </si>
  <si>
    <t>C</t>
  </si>
  <si>
    <t>D</t>
  </si>
  <si>
    <t>A</t>
  </si>
  <si>
    <t>Nitrate-N</t>
  </si>
  <si>
    <t>Ammonia-N</t>
  </si>
  <si>
    <t>DRP</t>
  </si>
  <si>
    <t>pH (pH units)</t>
  </si>
  <si>
    <t>Temperature (°C)</t>
  </si>
  <si>
    <t>DO (%)</t>
  </si>
  <si>
    <t>DO (mg/L)</t>
  </si>
  <si>
    <r>
      <t>Spec. Conductivity (</t>
    </r>
    <r>
      <rPr>
        <sz val="10"/>
        <rFont val="Symbol"/>
        <family val="1"/>
      </rPr>
      <t>m</t>
    </r>
    <r>
      <rPr>
        <sz val="10"/>
        <rFont val="Arial"/>
        <family val="2"/>
      </rPr>
      <t>S/cm)</t>
    </r>
  </si>
  <si>
    <t>Turbidity (NTU)</t>
  </si>
  <si>
    <t>Black disc (m)</t>
  </si>
  <si>
    <t>TSS</t>
  </si>
  <si>
    <t>2002 classification</t>
  </si>
  <si>
    <t>2005 Recreational MAC</t>
  </si>
  <si>
    <t>MCI</t>
  </si>
  <si>
    <t>SQMCI</t>
  </si>
  <si>
    <t>Periphyton score</t>
  </si>
  <si>
    <t>Filament &gt; 20 cm, &gt;= 30% cover</t>
  </si>
  <si>
    <t>Cd (mg/kg)</t>
  </si>
  <si>
    <t>Cu (mg/kg)</t>
  </si>
  <si>
    <t>Pb (mg/kg)</t>
  </si>
  <si>
    <t>Zn (mg/kg</t>
  </si>
  <si>
    <t>Saxtons</t>
  </si>
  <si>
    <t>2000-7</t>
  </si>
  <si>
    <t>B</t>
  </si>
  <si>
    <t>Fluorene</t>
  </si>
  <si>
    <t>Phenanthrene</t>
  </si>
  <si>
    <t>Anthracene</t>
  </si>
  <si>
    <t>Low Molecular Weight PAHs</t>
  </si>
  <si>
    <t>Fluoranthene</t>
  </si>
  <si>
    <t>Pyrene</t>
  </si>
  <si>
    <t>Benzo[a]anthracene</t>
  </si>
  <si>
    <t>Chrysene</t>
  </si>
  <si>
    <t>Benzo[b]fluoranthene</t>
  </si>
  <si>
    <t>Benzo[k]fluoranthene</t>
  </si>
  <si>
    <t>Benzo[a]pyrene</t>
  </si>
  <si>
    <t>Dibenzo[a,h]anthracene</t>
  </si>
  <si>
    <t>Benzo[g,h,i]perylene</t>
  </si>
  <si>
    <t>Indeno(1,2,3-c,d)pyrene</t>
  </si>
  <si>
    <t>High Molecular Weight PAHs</t>
  </si>
  <si>
    <t>Total PAHs</t>
  </si>
  <si>
    <t>Bis(2-ethylhexyl)phthalate</t>
  </si>
  <si>
    <t>Orphanage</t>
  </si>
  <si>
    <t>Poorman upr</t>
  </si>
  <si>
    <t>Poorman lwr</t>
  </si>
  <si>
    <t>Jenkins lwr</t>
  </si>
  <si>
    <t>York</t>
  </si>
  <si>
    <t>Todds</t>
  </si>
  <si>
    <t>Hillwood</t>
  </si>
  <si>
    <t>Brook upr</t>
  </si>
  <si>
    <t>Brook lwr</t>
  </si>
  <si>
    <t>Maitai upr</t>
  </si>
  <si>
    <t>Maitai um</t>
  </si>
  <si>
    <t>Maitai lwr</t>
  </si>
  <si>
    <t>Sharland</t>
  </si>
  <si>
    <t>Groom</t>
  </si>
  <si>
    <t>Wakapuaka upr</t>
  </si>
  <si>
    <t>Wakapuaka mid</t>
  </si>
  <si>
    <t>Wakapuaka lwr</t>
  </si>
  <si>
    <t>Teal upr</t>
  </si>
  <si>
    <t>Lud upr</t>
  </si>
  <si>
    <t>Lud lwr</t>
  </si>
  <si>
    <t>Pritchards</t>
  </si>
  <si>
    <t>Whangamoa upr</t>
  </si>
  <si>
    <t>Whangamoa lwr</t>
  </si>
  <si>
    <t>Graham</t>
  </si>
  <si>
    <t>Collins</t>
  </si>
  <si>
    <t>Dencker</t>
  </si>
  <si>
    <t>Overall Score</t>
  </si>
  <si>
    <t>Weightings</t>
  </si>
  <si>
    <t>Total Weightings</t>
  </si>
  <si>
    <t>Total weighted scores</t>
  </si>
  <si>
    <t>Arbitrarily assigned score</t>
  </si>
  <si>
    <t>Power factor</t>
  </si>
  <si>
    <t>Manual score</t>
  </si>
  <si>
    <t>Automatic</t>
  </si>
  <si>
    <t>Expander</t>
  </si>
  <si>
    <t>Power bias</t>
  </si>
  <si>
    <t>Offset</t>
  </si>
  <si>
    <t>Upgrades</t>
  </si>
  <si>
    <t>Downgrades</t>
  </si>
  <si>
    <t>Site Name</t>
  </si>
  <si>
    <t>Time</t>
  </si>
  <si>
    <t>Nitrate N (g/m3)</t>
  </si>
  <si>
    <t>Ammonia-N (g/m3)</t>
  </si>
  <si>
    <t>Dissolved Reactive Phosphorus (g/m3)</t>
  </si>
  <si>
    <t>pH</t>
  </si>
  <si>
    <t>Temperature (oC)</t>
  </si>
  <si>
    <t>Dissolved Oxygen Saturation (%)</t>
  </si>
  <si>
    <t>Dissolved Oxygen Concentration (mg/L)</t>
  </si>
  <si>
    <t>Conductivity (mS/cm)</t>
  </si>
  <si>
    <t>Turbudity (NTU)</t>
  </si>
  <si>
    <t>Total Suspended Solids (g/m3)</t>
  </si>
  <si>
    <t>Mean Periphyton Score</t>
  </si>
  <si>
    <t>Periphyton % long filaments (RAM-2)</t>
  </si>
  <si>
    <t>Min</t>
  </si>
  <si>
    <t>Max</t>
  </si>
  <si>
    <t>Median</t>
  </si>
  <si>
    <t>Mean</t>
  </si>
  <si>
    <t>± 95% CI</t>
  </si>
  <si>
    <t>Nutrients</t>
  </si>
  <si>
    <t>Physical</t>
  </si>
  <si>
    <t>Clarity</t>
  </si>
  <si>
    <t>Periphyton</t>
  </si>
  <si>
    <t>Macroinvertebrates</t>
  </si>
  <si>
    <t>No. of samples</t>
  </si>
  <si>
    <r>
      <t>Parameter</t>
    </r>
    <r>
      <rPr>
        <sz val="10"/>
        <rFont val="Arial"/>
        <family val="0"/>
      </rPr>
      <t xml:space="preserve">                                       (values in mg/L unless specified)</t>
    </r>
  </si>
  <si>
    <t>Std Dev</t>
  </si>
  <si>
    <t>contaminants</t>
  </si>
  <si>
    <t>Sediment</t>
  </si>
  <si>
    <t>95 %ile</t>
  </si>
  <si>
    <t>Automatic as Alpha</t>
  </si>
  <si>
    <t>Latest year</t>
  </si>
  <si>
    <t>Year</t>
  </si>
  <si>
    <t>2000-2001</t>
  </si>
  <si>
    <t>2000-2007</t>
  </si>
  <si>
    <t>OVERALL WATER QUALITY CLASSIFICATION:</t>
  </si>
  <si>
    <t>SCORE</t>
  </si>
  <si>
    <t>The Summary worksheet has a year by year summary of the overall site classification for each site.</t>
  </si>
  <si>
    <t>Filament &gt; 2 cm, &gt;= 30% cover</t>
  </si>
  <si>
    <t>Saxton Ck: Stream Health</t>
  </si>
  <si>
    <t xml:space="preserve">Delete existing data from PRIMER worksheet.  </t>
  </si>
  <si>
    <t>NOTE: Delete existing data to the right of this red column (N.B. Use delete key on keyboard, not from the edit menu) and then copy and paste new data from the PRIMER worksheet into the cells next to the blue highlighted cell</t>
  </si>
  <si>
    <r>
      <t xml:space="preserve">NOTE:.  Use only </t>
    </r>
    <r>
      <rPr>
        <b/>
        <sz val="10"/>
        <color indexed="12"/>
        <rFont val="Arial"/>
        <family val="0"/>
      </rPr>
      <t>copy and paste</t>
    </r>
    <r>
      <rPr>
        <sz val="10"/>
        <color indexed="12"/>
        <rFont val="Arial"/>
        <family val="0"/>
      </rPr>
      <t xml:space="preserve"> when moving data or adding data to this workbook.  </t>
    </r>
    <r>
      <rPr>
        <b/>
        <sz val="10"/>
        <color indexed="12"/>
        <rFont val="Arial"/>
        <family val="0"/>
      </rPr>
      <t>Cut and paste</t>
    </r>
    <r>
      <rPr>
        <sz val="10"/>
        <color indexed="12"/>
        <rFont val="Arial"/>
        <family val="0"/>
      </rPr>
      <t xml:space="preserve"> will overwrite cells and therefore break cell references in formulas.</t>
    </r>
  </si>
  <si>
    <t xml:space="preserve">A table of statistics for each water quality variable will be displayed in the worksheet for each site, based on the newly pasted data.  </t>
  </si>
  <si>
    <t>This table also contains the A-E classification (score) for each variable and the overall site classification (based on the calculations in the Combined Score Calcs worksheet).</t>
  </si>
  <si>
    <t xml:space="preserve">Once all the data for a given year are entered in their respective site worksheets, copy the values from the row labelled "Latest year" and </t>
  </si>
  <si>
    <t>paste special, as values into the row for the appropriate year below.</t>
  </si>
  <si>
    <t>Paste new data into PRIMER worksheet (using Paste special/transpose, under the edit menu).</t>
  </si>
  <si>
    <t>Orphanage Ck: Stream Health</t>
  </si>
  <si>
    <t>Copy transposed data from PRIMER worksheet and paste into the appropriate sheet for that site, to the right of the dark blue highlighted cell.</t>
  </si>
  <si>
    <t>Make sure that the variable names in column P match those highlighted light blue in column N.</t>
  </si>
  <si>
    <t>Poorman upr: Stream Health</t>
  </si>
  <si>
    <t>Poorman lwr: Stream Health</t>
  </si>
  <si>
    <t>ISQG-Low</t>
  </si>
  <si>
    <t>ISQG-High</t>
  </si>
  <si>
    <t>na</t>
  </si>
  <si>
    <t>Contaminant</t>
  </si>
  <si>
    <t>Trigger level (from Table 12 p54 Wilkinson 2007, Cawthron Report No. 1349)</t>
  </si>
  <si>
    <t>Jenkins lwr: Stream Health</t>
  </si>
  <si>
    <t>-</t>
  </si>
  <si>
    <t>York Stm: Stream Health</t>
  </si>
  <si>
    <t>Todds Valley Stm: Stream Health</t>
  </si>
  <si>
    <t>Hillwood Valley Stm: Stream Health</t>
  </si>
  <si>
    <t>The Brook (upper site): Stream Health</t>
  </si>
  <si>
    <t>The Brook (lower site): Stream Health</t>
  </si>
  <si>
    <t>Maitai R (upper): Stream Health</t>
  </si>
  <si>
    <t>Maitai R (upper/middle site - Motor Camp): Stream Health</t>
  </si>
  <si>
    <t>Maitai R (lower): Stream Health</t>
  </si>
  <si>
    <t>Sharland Ck: Stream Health</t>
  </si>
  <si>
    <t>Groom Ck: Stream Health</t>
  </si>
  <si>
    <t>Wakapuaka R (upper): Stream Health</t>
  </si>
  <si>
    <t>Wakapuaka R (middle): Stream Health</t>
  </si>
  <si>
    <t>Wakapuaka R (lower): Stream Health</t>
  </si>
  <si>
    <t>Teal R (upper): Stream Health</t>
  </si>
  <si>
    <t>Lud R (upper): Stream Health</t>
  </si>
  <si>
    <t>Lud R (lower): Stream Health</t>
  </si>
  <si>
    <t>Pritchards Stm: Stream Health</t>
  </si>
  <si>
    <t>Whangamoa R (upper): Stream Health</t>
  </si>
  <si>
    <t>Whangamoa R (lower): Stream Health</t>
  </si>
  <si>
    <t>Graham Stm: Stream Health</t>
  </si>
  <si>
    <t>Collins R: Stream Health</t>
  </si>
  <si>
    <t>Dencker Ck: Stream Health</t>
  </si>
  <si>
    <t>Latest</t>
  </si>
  <si>
    <t>Todds lwr</t>
  </si>
  <si>
    <t>Maitai upr/mid</t>
  </si>
  <si>
    <t>A – Excellent</t>
  </si>
  <si>
    <t>B - Very Good</t>
  </si>
  <si>
    <t>C - Moderate</t>
  </si>
  <si>
    <t>D - Degraded</t>
  </si>
  <si>
    <t>E - Very Degraded</t>
  </si>
  <si>
    <t>&lt;18</t>
  </si>
  <si>
    <t>&lt;20</t>
  </si>
  <si>
    <t>&lt;22</t>
  </si>
  <si>
    <t>&lt;25</t>
  </si>
  <si>
    <t>&gt;90</t>
  </si>
  <si>
    <t>&gt;80</t>
  </si>
  <si>
    <t>&gt;2.5</t>
  </si>
  <si>
    <t>&gt;0.6</t>
  </si>
  <si>
    <t>&lt;130</t>
  </si>
  <si>
    <t>&lt;260</t>
  </si>
  <si>
    <t>&lt;550</t>
  </si>
  <si>
    <t>&gt;=550</t>
  </si>
  <si>
    <t>&gt;120</t>
  </si>
  <si>
    <t>&gt;100</t>
  </si>
  <si>
    <t>Classification system used in this latest version of the automated workbook c.f. Table 4 in Cawthron Report 1349</t>
  </si>
  <si>
    <t>All classifications are based on the median value over a sampling period, except Sediment contaminants, which are based on the mean.</t>
  </si>
  <si>
    <t>&lt;0.08</t>
  </si>
  <si>
    <t>&lt;0.12</t>
  </si>
  <si>
    <t>&lt;0.295</t>
  </si>
  <si>
    <t>Note: based on Nitrate and Ammonia N medains combined</t>
  </si>
  <si>
    <t>&lt;0.005</t>
  </si>
  <si>
    <t>&lt;0.008</t>
  </si>
  <si>
    <t>&lt;0.026</t>
  </si>
  <si>
    <t>7.2&lt;pH&lt;9</t>
  </si>
  <si>
    <t>7.2&lt;=pH&lt;=9</t>
  </si>
  <si>
    <t>6.5&lt;=pH&lt;=9</t>
  </si>
  <si>
    <t>6.5&lt;=pH&lt;=10</t>
  </si>
  <si>
    <t>Anything else</t>
  </si>
  <si>
    <t>99&lt;=T&lt;=103</t>
  </si>
  <si>
    <t>98&lt;=T&lt;=105</t>
  </si>
  <si>
    <t>&lt;1</t>
  </si>
  <si>
    <t>&lt;2</t>
  </si>
  <si>
    <t>&lt;3</t>
  </si>
  <si>
    <t>&lt;5</t>
  </si>
  <si>
    <t>&gt;6</t>
  </si>
  <si>
    <t>&gt;4</t>
  </si>
  <si>
    <t>Greyed variables are not used in classification system.</t>
  </si>
  <si>
    <t>Classification is worked through from left to right.</t>
  </si>
  <si>
    <t>&lt;10</t>
  </si>
  <si>
    <t>&gt;5</t>
  </si>
  <si>
    <t>&gt;8</t>
  </si>
  <si>
    <t>&gt;2</t>
  </si>
  <si>
    <t>&gt;=1.5</t>
  </si>
  <si>
    <t>&gt;=65</t>
  </si>
  <si>
    <t>&gt;=50</t>
  </si>
  <si>
    <t>&gt;=200</t>
  </si>
  <si>
    <t>&gt;=0.019</t>
  </si>
  <si>
    <t>&gt;=0.24</t>
  </si>
  <si>
    <t>&gt;=0.085</t>
  </si>
  <si>
    <t>&gt;=0.552</t>
  </si>
  <si>
    <t>&gt;=0.6</t>
  </si>
  <si>
    <t>&gt;=0.665</t>
  </si>
  <si>
    <t>&gt;=0.261</t>
  </si>
  <si>
    <t>&gt;=0.384</t>
  </si>
  <si>
    <t>&gt;=0.8</t>
  </si>
  <si>
    <t>&gt;=0.43</t>
  </si>
  <si>
    <t>&gt;=0.063</t>
  </si>
  <si>
    <t>&gt;=0.069</t>
  </si>
  <si>
    <t>&gt;=1.7</t>
  </si>
  <si>
    <t>&gt;=4</t>
  </si>
  <si>
    <t>&lt;1.5 gets A-D</t>
  </si>
  <si>
    <t>&lt;65 gets A-D</t>
  </si>
  <si>
    <t>&lt;50 gets A-D</t>
  </si>
  <si>
    <t>&lt;200 gets A-D</t>
  </si>
  <si>
    <t>&lt;0.019 gets A-D</t>
  </si>
  <si>
    <t>&lt;0.24 gets A-D</t>
  </si>
  <si>
    <t>&lt;0.085 gets A-D</t>
  </si>
  <si>
    <t>&lt;0.552 gets A-D</t>
  </si>
  <si>
    <t>&lt;0.6 gets A-D</t>
  </si>
  <si>
    <t>&lt;0.665 gets A-D</t>
  </si>
  <si>
    <t>&lt;0.261 gets A-D</t>
  </si>
  <si>
    <t>&lt;0.384 gets A-D</t>
  </si>
  <si>
    <t>&lt;0.8 gets A-D</t>
  </si>
  <si>
    <t>&lt;0.43 gets A-D</t>
  </si>
  <si>
    <t>&lt;0.063 gets A-D</t>
  </si>
  <si>
    <t>&lt;0.069 gets A-D</t>
  </si>
  <si>
    <t>&lt;1.7 gets A-D</t>
  </si>
  <si>
    <t>&lt;4 gets A-D</t>
  </si>
  <si>
    <t/>
  </si>
  <si>
    <r>
      <t>Spec. Conductivity (</t>
    </r>
    <r>
      <rPr>
        <sz val="10"/>
        <color indexed="55"/>
        <rFont val="Symbol"/>
        <family val="1"/>
      </rPr>
      <t>m</t>
    </r>
    <r>
      <rPr>
        <sz val="10"/>
        <color indexed="55"/>
        <rFont val="Arial"/>
        <family val="2"/>
      </rPr>
      <t>S/cm)</t>
    </r>
  </si>
  <si>
    <t>Note: see table 12 (p54) Cawthron Report 1349 for sediment contaminant criteria</t>
  </si>
  <si>
    <t>E.coli MPN (cfu/100mL)</t>
  </si>
  <si>
    <t>Insert a single row immediately below the E.coli MPN (cfu/100mL) row in the transposed data.</t>
  </si>
  <si>
    <t>down</t>
  </si>
  <si>
    <t>up</t>
  </si>
  <si>
    <t>same</t>
  </si>
  <si>
    <t>&gt;60</t>
  </si>
  <si>
    <t>&gt;3</t>
  </si>
  <si>
    <t>&lt;0.444</t>
  </si>
  <si>
    <t>&lt;0.050</t>
  </si>
  <si>
    <t xml:space="preserve">Note: if the column names do match for the first site, they will for all others.  </t>
  </si>
  <si>
    <t>From til</t>
  </si>
  <si>
    <t>Comparison of 2007scores with longterm.  Negative numbers mean an downgrade of the site.</t>
  </si>
  <si>
    <t xml:space="preserve">E.coli </t>
  </si>
  <si>
    <t>(cfu/100mL)</t>
  </si>
  <si>
    <t>Ensure that both the raw data csv file and this xls file are open within the same Excel window (i.e. they are not opened in two separate instances of Excel), otherwise the paste special/transpose function will not work.</t>
  </si>
  <si>
    <t>Medain over time</t>
  </si>
  <si>
    <t>Difference between median over time and combined years rank</t>
  </si>
  <si>
    <r>
      <t>In which case you can simply copy the data for subsequent sites without the variable names into the appropriate site shee</t>
    </r>
    <r>
      <rPr>
        <sz val="10"/>
        <rFont val="Arial"/>
        <family val="2"/>
      </rPr>
      <t>ts (and paste them into column Q).</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</si>
</sst>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
    <numFmt numFmtId="171" formatCode="0.0"/>
    <numFmt numFmtId="172" formatCode="0.00000000000000"/>
    <numFmt numFmtId="173" formatCode="&quot;Yes&quot;;&quot;Yes&quot;;&quot;No&quot;"/>
    <numFmt numFmtId="174" formatCode="&quot;True&quot;;&quot;True&quot;;&quot;False&quot;"/>
    <numFmt numFmtId="175" formatCode="&quot;On&quot;;&quot;On&quot;;&quot;Off&quot;"/>
    <numFmt numFmtId="176" formatCode="[$€-2]\ #,##0.00_);[Red]\([$€-2]\ #,##0.00\)"/>
    <numFmt numFmtId="177" formatCode="0.00000000"/>
    <numFmt numFmtId="178" formatCode="0.0000000"/>
    <numFmt numFmtId="179" formatCode="0.000000"/>
    <numFmt numFmtId="180" formatCode="0.00000"/>
    <numFmt numFmtId="181" formatCode="0.0000"/>
    <numFmt numFmtId="182" formatCode="_(* #,##0.00_);_(* \(#,##0.00\);_(* &quot;-&quot;??_);_(@_)"/>
    <numFmt numFmtId="183" formatCode="_(* #,##0_);_(* \(#,##0\);_(* &quot;-&quot;_);_(@_)"/>
    <numFmt numFmtId="184" formatCode="_(&quot;$&quot;* #,##0.00_);_(&quot;$&quot;* \(#,##0.00\);_(&quot;$&quot;* &quot;-&quot;??_);_(@_)"/>
    <numFmt numFmtId="185" formatCode="_(&quot;$&quot;* #,##0_);_(&quot;$&quot;* \(#,##0\);_(&quot;$&quot;* &quot;-&quot;_);_(@_)"/>
    <numFmt numFmtId="186" formatCode="mmm\-yyyy"/>
  </numFmts>
  <fonts count="28">
    <font>
      <sz val="10"/>
      <name val="Arial"/>
      <family val="0"/>
    </font>
    <font>
      <sz val="10"/>
      <name val="Symbol"/>
      <family val="1"/>
    </font>
    <font>
      <b/>
      <sz val="10"/>
      <name val="Arial"/>
      <family val="2"/>
    </font>
    <font>
      <b/>
      <u val="single"/>
      <sz val="10"/>
      <name val="Arial"/>
      <family val="2"/>
    </font>
    <font>
      <sz val="8"/>
      <name val="Arial"/>
      <family val="0"/>
    </font>
    <font>
      <sz val="9"/>
      <name val="Arial"/>
      <family val="2"/>
    </font>
    <font>
      <u val="single"/>
      <sz val="9"/>
      <color indexed="12"/>
      <name val="Arial"/>
      <family val="0"/>
    </font>
    <font>
      <u val="single"/>
      <sz val="9"/>
      <color indexed="36"/>
      <name val="Arial"/>
      <family val="0"/>
    </font>
    <font>
      <sz val="10"/>
      <color indexed="55"/>
      <name val="Arial"/>
      <family val="2"/>
    </font>
    <font>
      <sz val="10"/>
      <color indexed="23"/>
      <name val="Arial"/>
      <family val="0"/>
    </font>
    <font>
      <sz val="10"/>
      <color indexed="54"/>
      <name val="Arial"/>
      <family val="0"/>
    </font>
    <font>
      <b/>
      <sz val="10"/>
      <color indexed="62"/>
      <name val="Arial"/>
      <family val="2"/>
    </font>
    <font>
      <b/>
      <sz val="10"/>
      <color indexed="10"/>
      <name val="Arial"/>
      <family val="2"/>
    </font>
    <font>
      <sz val="10"/>
      <name val="Tahoma"/>
      <family val="0"/>
    </font>
    <font>
      <b/>
      <sz val="10"/>
      <name val="Tahoma"/>
      <family val="0"/>
    </font>
    <font>
      <b/>
      <sz val="12"/>
      <name val="Arial"/>
      <family val="2"/>
    </font>
    <font>
      <sz val="10"/>
      <color indexed="12"/>
      <name val="Arial"/>
      <family val="0"/>
    </font>
    <font>
      <b/>
      <sz val="10"/>
      <color indexed="12"/>
      <name val="Arial"/>
      <family val="0"/>
    </font>
    <font>
      <sz val="9"/>
      <color indexed="8"/>
      <name val="Arial"/>
      <family val="2"/>
    </font>
    <font>
      <sz val="10"/>
      <color indexed="8"/>
      <name val="Arial"/>
      <family val="0"/>
    </font>
    <font>
      <i/>
      <sz val="10"/>
      <name val="Arial"/>
      <family val="2"/>
    </font>
    <font>
      <b/>
      <sz val="9"/>
      <name val="Arial"/>
      <family val="2"/>
    </font>
    <font>
      <b/>
      <u val="single"/>
      <sz val="9"/>
      <name val="Arial"/>
      <family val="2"/>
    </font>
    <font>
      <b/>
      <sz val="10"/>
      <color indexed="8"/>
      <name val="Arial"/>
      <family val="2"/>
    </font>
    <font>
      <b/>
      <sz val="10"/>
      <name val="Times New Roman"/>
      <family val="1"/>
    </font>
    <font>
      <sz val="10"/>
      <color indexed="55"/>
      <name val="Symbol"/>
      <family val="1"/>
    </font>
    <font>
      <i/>
      <sz val="10"/>
      <color indexed="55"/>
      <name val="Arial"/>
      <family val="0"/>
    </font>
    <font>
      <b/>
      <sz val="8"/>
      <name val="Arial"/>
      <family val="2"/>
    </font>
  </fonts>
  <fills count="10">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indexed="12"/>
        <bgColor indexed="64"/>
      </patternFill>
    </fill>
    <fill>
      <patternFill patternType="solid">
        <fgColor indexed="41"/>
        <bgColor indexed="64"/>
      </patternFill>
    </fill>
  </fills>
  <borders count="24">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medium"/>
      <bottom style="medium"/>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1" fontId="0" fillId="0" borderId="0" xfId="0" applyNumberFormat="1" applyAlignment="1">
      <alignment horizontal="center"/>
    </xf>
    <xf numFmtId="0" fontId="3" fillId="0" borderId="0" xfId="0" applyFont="1" applyAlignment="1">
      <alignment/>
    </xf>
    <xf numFmtId="0" fontId="2" fillId="0" borderId="0" xfId="0" applyFont="1" applyAlignment="1">
      <alignment horizontal="center"/>
    </xf>
    <xf numFmtId="2" fontId="0" fillId="0" borderId="0" xfId="0" applyNumberFormat="1" applyFont="1" applyBorder="1" applyAlignment="1">
      <alignment horizontal="left" vertical="center"/>
    </xf>
    <xf numFmtId="170" fontId="0" fillId="0" borderId="0" xfId="0" applyNumberFormat="1" applyFont="1" applyBorder="1" applyAlignment="1">
      <alignment horizontal="left" vertical="center"/>
    </xf>
    <xf numFmtId="171" fontId="0" fillId="0" borderId="0" xfId="0" applyNumberFormat="1" applyFont="1" applyBorder="1" applyAlignment="1">
      <alignment horizontal="left" vertical="center"/>
    </xf>
    <xf numFmtId="171" fontId="0" fillId="0" borderId="0" xfId="0" applyNumberFormat="1" applyFont="1" applyBorder="1" applyAlignment="1">
      <alignment horizontal="left" vertical="center"/>
    </xf>
    <xf numFmtId="1" fontId="0" fillId="0" borderId="0" xfId="0" applyNumberFormat="1" applyFont="1" applyBorder="1" applyAlignment="1">
      <alignment horizontal="left" vertical="center"/>
    </xf>
    <xf numFmtId="1" fontId="0" fillId="0" borderId="0" xfId="0" applyNumberFormat="1" applyFont="1" applyBorder="1" applyAlignment="1">
      <alignment horizontal="left" vertical="center"/>
    </xf>
    <xf numFmtId="1" fontId="2" fillId="0" borderId="0" xfId="0" applyNumberFormat="1" applyFont="1" applyBorder="1" applyAlignment="1">
      <alignment horizontal="left" vertical="center"/>
    </xf>
    <xf numFmtId="1" fontId="3" fillId="0" borderId="0" xfId="0" applyNumberFormat="1" applyFont="1" applyBorder="1" applyAlignment="1">
      <alignment horizontal="left" vertical="center"/>
    </xf>
    <xf numFmtId="171" fontId="0" fillId="0" borderId="0" xfId="0" applyNumberFormat="1" applyFont="1" applyBorder="1" applyAlignment="1">
      <alignment horizontal="center" vertical="center"/>
    </xf>
    <xf numFmtId="171" fontId="0" fillId="0" borderId="0" xfId="0" applyNumberFormat="1" applyFont="1" applyBorder="1" applyAlignment="1">
      <alignment horizontal="center" vertical="center"/>
    </xf>
    <xf numFmtId="171" fontId="0" fillId="0" borderId="0" xfId="0" applyNumberFormat="1" applyAlignment="1">
      <alignment horizontal="center"/>
    </xf>
    <xf numFmtId="2" fontId="0" fillId="0" borderId="0" xfId="0" applyNumberFormat="1" applyAlignment="1">
      <alignment horizontal="center"/>
    </xf>
    <xf numFmtId="0" fontId="2" fillId="0" borderId="0" xfId="0" applyNumberFormat="1" applyFont="1" applyAlignment="1">
      <alignment horizontal="center"/>
    </xf>
    <xf numFmtId="0" fontId="0" fillId="2" borderId="0" xfId="0" applyNumberFormat="1" applyFont="1" applyFill="1" applyAlignment="1">
      <alignment horizontal="center"/>
    </xf>
    <xf numFmtId="0" fontId="0" fillId="0" borderId="0" xfId="0" applyNumberFormat="1" applyFont="1" applyAlignment="1">
      <alignment horizontal="center"/>
    </xf>
    <xf numFmtId="0" fontId="0" fillId="0" borderId="0" xfId="0" applyNumberFormat="1" applyAlignment="1">
      <alignment horizontal="center"/>
    </xf>
    <xf numFmtId="0" fontId="0" fillId="0" borderId="0" xfId="0" applyNumberFormat="1" applyAlignment="1">
      <alignment/>
    </xf>
    <xf numFmtId="0" fontId="0" fillId="0" borderId="0" xfId="0" applyNumberFormat="1" applyFont="1" applyFill="1" applyAlignment="1">
      <alignment horizontal="center"/>
    </xf>
    <xf numFmtId="170" fontId="0" fillId="0" borderId="0" xfId="0" applyNumberFormat="1" applyAlignment="1">
      <alignment/>
    </xf>
    <xf numFmtId="2" fontId="0" fillId="0" borderId="0" xfId="0" applyNumberFormat="1" applyAlignment="1">
      <alignment/>
    </xf>
    <xf numFmtId="1" fontId="0" fillId="0" borderId="0" xfId="0" applyNumberFormat="1" applyAlignment="1">
      <alignment/>
    </xf>
    <xf numFmtId="171" fontId="8" fillId="0" borderId="0" xfId="0" applyNumberFormat="1" applyFont="1" applyBorder="1" applyAlignment="1">
      <alignment horizontal="center" vertical="center"/>
    </xf>
    <xf numFmtId="0" fontId="5" fillId="0" borderId="0" xfId="0" applyFont="1" applyAlignment="1">
      <alignment/>
    </xf>
    <xf numFmtId="0" fontId="0" fillId="0" borderId="0" xfId="0" applyBorder="1" applyAlignment="1">
      <alignment/>
    </xf>
    <xf numFmtId="0" fontId="3" fillId="0" borderId="0" xfId="0" applyFont="1" applyBorder="1" applyAlignment="1">
      <alignment/>
    </xf>
    <xf numFmtId="170" fontId="0" fillId="0" borderId="0" xfId="0" applyNumberFormat="1" applyFont="1" applyBorder="1" applyAlignment="1">
      <alignment horizontal="left" vertical="center"/>
    </xf>
    <xf numFmtId="2" fontId="0" fillId="0" borderId="0" xfId="0" applyNumberFormat="1" applyFont="1" applyBorder="1" applyAlignment="1">
      <alignment horizontal="left" vertical="center"/>
    </xf>
    <xf numFmtId="0" fontId="0" fillId="0" borderId="0" xfId="0" applyAlignment="1">
      <alignment/>
    </xf>
    <xf numFmtId="1" fontId="9" fillId="0" borderId="0" xfId="0" applyNumberFormat="1" applyFont="1" applyAlignment="1">
      <alignment horizontal="center"/>
    </xf>
    <xf numFmtId="0" fontId="0" fillId="0" borderId="1" xfId="0" applyBorder="1" applyAlignment="1">
      <alignment horizontal="center"/>
    </xf>
    <xf numFmtId="0" fontId="0" fillId="0" borderId="2" xfId="0" applyBorder="1" applyAlignment="1">
      <alignment/>
    </xf>
    <xf numFmtId="0" fontId="0" fillId="0" borderId="1" xfId="0" applyBorder="1" applyAlignment="1">
      <alignment/>
    </xf>
    <xf numFmtId="0" fontId="0" fillId="0" borderId="1" xfId="0" applyBorder="1" applyAlignment="1">
      <alignment textRotation="90"/>
    </xf>
    <xf numFmtId="1" fontId="0" fillId="0" borderId="1" xfId="0" applyNumberFormat="1" applyBorder="1" applyAlignment="1">
      <alignment horizontal="center"/>
    </xf>
    <xf numFmtId="1" fontId="2" fillId="0" borderId="1" xfId="0" applyNumberFormat="1" applyFont="1" applyBorder="1" applyAlignment="1">
      <alignment horizontal="center"/>
    </xf>
    <xf numFmtId="0" fontId="0" fillId="0" borderId="0" xfId="0" applyBorder="1" applyAlignment="1">
      <alignment/>
    </xf>
    <xf numFmtId="1" fontId="0" fillId="0" borderId="0" xfId="0" applyNumberFormat="1" applyBorder="1" applyAlignment="1">
      <alignment/>
    </xf>
    <xf numFmtId="171" fontId="0" fillId="0" borderId="0" xfId="0" applyNumberFormat="1" applyFont="1" applyBorder="1" applyAlignment="1">
      <alignment horizontal="center"/>
    </xf>
    <xf numFmtId="171" fontId="5" fillId="0" borderId="0" xfId="0" applyNumberFormat="1" applyFont="1" applyBorder="1" applyAlignment="1">
      <alignment horizontal="center"/>
    </xf>
    <xf numFmtId="171" fontId="0" fillId="0" borderId="0" xfId="0" applyNumberFormat="1" applyBorder="1" applyAlignment="1">
      <alignment horizontal="center"/>
    </xf>
    <xf numFmtId="171" fontId="0" fillId="0" borderId="0" xfId="0" applyNumberFormat="1" applyBorder="1" applyAlignment="1">
      <alignment/>
    </xf>
    <xf numFmtId="171" fontId="9" fillId="0" borderId="0" xfId="0" applyNumberFormat="1" applyFont="1" applyAlignment="1">
      <alignment horizontal="center"/>
    </xf>
    <xf numFmtId="170" fontId="9" fillId="0" borderId="0" xfId="0" applyNumberFormat="1" applyFont="1" applyAlignment="1">
      <alignment horizontal="center"/>
    </xf>
    <xf numFmtId="170" fontId="0" fillId="0" borderId="0" xfId="0" applyNumberFormat="1" applyAlignment="1">
      <alignment horizontal="center"/>
    </xf>
    <xf numFmtId="171" fontId="10" fillId="0" borderId="0" xfId="0" applyNumberFormat="1" applyFont="1" applyBorder="1" applyAlignment="1">
      <alignment horizontal="center"/>
    </xf>
    <xf numFmtId="171" fontId="11" fillId="0" borderId="3" xfId="0" applyNumberFormat="1" applyFont="1" applyBorder="1" applyAlignment="1">
      <alignment/>
    </xf>
    <xf numFmtId="171" fontId="12" fillId="0" borderId="3" xfId="0" applyNumberFormat="1" applyFont="1" applyBorder="1" applyAlignment="1">
      <alignment/>
    </xf>
    <xf numFmtId="0" fontId="2" fillId="0" borderId="4" xfId="0" applyFont="1" applyBorder="1" applyAlignment="1">
      <alignment horizontal="center"/>
    </xf>
    <xf numFmtId="0" fontId="2" fillId="3" borderId="5" xfId="0" applyFont="1" applyFill="1" applyBorder="1" applyAlignment="1">
      <alignment/>
    </xf>
    <xf numFmtId="0" fontId="2" fillId="3" borderId="6" xfId="0" applyFont="1" applyFill="1" applyBorder="1" applyAlignment="1">
      <alignment/>
    </xf>
    <xf numFmtId="0" fontId="2" fillId="4" borderId="7" xfId="0" applyFont="1" applyFill="1" applyBorder="1" applyAlignment="1">
      <alignment/>
    </xf>
    <xf numFmtId="0" fontId="2" fillId="4" borderId="8" xfId="0" applyFont="1" applyFill="1" applyBorder="1" applyAlignment="1">
      <alignment/>
    </xf>
    <xf numFmtId="0" fontId="2" fillId="5" borderId="9" xfId="0" applyFont="1" applyFill="1" applyBorder="1" applyAlignment="1">
      <alignment/>
    </xf>
    <xf numFmtId="0" fontId="2" fillId="5" borderId="10" xfId="0" applyFont="1" applyFill="1" applyBorder="1" applyAlignment="1">
      <alignment/>
    </xf>
    <xf numFmtId="0" fontId="12" fillId="0" borderId="0" xfId="0" applyFont="1" applyBorder="1" applyAlignment="1">
      <alignment/>
    </xf>
    <xf numFmtId="0" fontId="11" fillId="0" borderId="0" xfId="0" applyFont="1" applyBorder="1" applyAlignment="1">
      <alignment/>
    </xf>
    <xf numFmtId="0" fontId="2" fillId="0" borderId="0" xfId="0" applyFont="1" applyAlignment="1">
      <alignment/>
    </xf>
    <xf numFmtId="0" fontId="0" fillId="6" borderId="11" xfId="0" applyFill="1" applyBorder="1" applyAlignment="1">
      <alignment/>
    </xf>
    <xf numFmtId="0" fontId="2" fillId="6" borderId="12" xfId="0" applyFont="1" applyFill="1" applyBorder="1" applyAlignment="1">
      <alignment horizontal="center"/>
    </xf>
    <xf numFmtId="2" fontId="0" fillId="6" borderId="12" xfId="0" applyNumberFormat="1" applyFont="1" applyFill="1" applyBorder="1" applyAlignment="1">
      <alignment horizontal="center"/>
    </xf>
    <xf numFmtId="22" fontId="0" fillId="0" borderId="0" xfId="0" applyNumberFormat="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Font="1" applyBorder="1" applyAlignment="1">
      <alignment horizontal="center" wrapText="1"/>
    </xf>
    <xf numFmtId="2" fontId="0" fillId="0" borderId="7" xfId="0" applyNumberFormat="1" applyBorder="1" applyAlignment="1">
      <alignment/>
    </xf>
    <xf numFmtId="170" fontId="0" fillId="0" borderId="7" xfId="0" applyNumberFormat="1" applyBorder="1" applyAlignment="1">
      <alignment/>
    </xf>
    <xf numFmtId="170" fontId="0" fillId="0" borderId="15" xfId="0" applyNumberFormat="1" applyBorder="1" applyAlignment="1">
      <alignment/>
    </xf>
    <xf numFmtId="171" fontId="0" fillId="0" borderId="7" xfId="0" applyNumberFormat="1" applyBorder="1" applyAlignment="1">
      <alignment/>
    </xf>
    <xf numFmtId="1" fontId="0" fillId="0" borderId="15" xfId="0" applyNumberFormat="1" applyBorder="1" applyAlignment="1">
      <alignment/>
    </xf>
    <xf numFmtId="1" fontId="0" fillId="0" borderId="7" xfId="0" applyNumberFormat="1" applyBorder="1" applyAlignment="1">
      <alignment/>
    </xf>
    <xf numFmtId="2" fontId="0" fillId="0" borderId="15" xfId="0" applyNumberFormat="1" applyBorder="1" applyAlignment="1">
      <alignment/>
    </xf>
    <xf numFmtId="1" fontId="0" fillId="0" borderId="9" xfId="0" applyNumberFormat="1" applyBorder="1" applyAlignment="1">
      <alignment/>
    </xf>
    <xf numFmtId="1" fontId="2" fillId="0" borderId="0" xfId="0" applyNumberFormat="1" applyFont="1" applyBorder="1" applyAlignment="1">
      <alignment horizontal="center"/>
    </xf>
    <xf numFmtId="0" fontId="0" fillId="0" borderId="0" xfId="0" applyBorder="1" applyAlignment="1">
      <alignment horizontal="right"/>
    </xf>
    <xf numFmtId="1" fontId="2" fillId="0" borderId="0" xfId="0" applyNumberFormat="1" applyFont="1" applyAlignment="1">
      <alignment horizontal="center"/>
    </xf>
    <xf numFmtId="0" fontId="2" fillId="6" borderId="0" xfId="0" applyFont="1" applyFill="1" applyAlignment="1">
      <alignment/>
    </xf>
    <xf numFmtId="0" fontId="0" fillId="0" borderId="5" xfId="0" applyBorder="1" applyAlignment="1">
      <alignment/>
    </xf>
    <xf numFmtId="0" fontId="0" fillId="0" borderId="7" xfId="0" applyBorder="1" applyAlignment="1">
      <alignment/>
    </xf>
    <xf numFmtId="2" fontId="0" fillId="0" borderId="0" xfId="0" applyNumberFormat="1" applyBorder="1" applyAlignment="1">
      <alignment/>
    </xf>
    <xf numFmtId="0" fontId="0" fillId="0" borderId="9" xfId="0" applyBorder="1" applyAlignment="1">
      <alignment/>
    </xf>
    <xf numFmtId="0" fontId="0" fillId="0" borderId="16" xfId="0" applyBorder="1" applyAlignment="1">
      <alignment/>
    </xf>
    <xf numFmtId="1" fontId="0" fillId="0" borderId="13" xfId="0" applyNumberFormat="1" applyFont="1" applyBorder="1" applyAlignment="1">
      <alignment horizontal="center" wrapText="1"/>
    </xf>
    <xf numFmtId="0" fontId="0" fillId="0" borderId="17" xfId="0" applyBorder="1" applyAlignment="1">
      <alignment/>
    </xf>
    <xf numFmtId="0" fontId="0" fillId="0" borderId="15" xfId="0" applyBorder="1" applyAlignment="1">
      <alignment/>
    </xf>
    <xf numFmtId="2" fontId="0" fillId="0" borderId="18" xfId="0" applyNumberFormat="1" applyBorder="1" applyAlignment="1">
      <alignment/>
    </xf>
    <xf numFmtId="0" fontId="0" fillId="0" borderId="19" xfId="0" applyBorder="1" applyAlignment="1">
      <alignment/>
    </xf>
    <xf numFmtId="0" fontId="0" fillId="0" borderId="8" xfId="0" applyBorder="1" applyAlignment="1">
      <alignment/>
    </xf>
    <xf numFmtId="0" fontId="2" fillId="0" borderId="10" xfId="0" applyFont="1" applyBorder="1" applyAlignment="1">
      <alignment/>
    </xf>
    <xf numFmtId="0" fontId="2" fillId="0" borderId="14" xfId="0" applyFont="1" applyBorder="1" applyAlignment="1">
      <alignment wrapText="1"/>
    </xf>
    <xf numFmtId="2" fontId="0" fillId="0" borderId="19" xfId="0" applyNumberFormat="1" applyFont="1" applyBorder="1" applyAlignment="1">
      <alignment horizontal="left" vertical="center"/>
    </xf>
    <xf numFmtId="170" fontId="0" fillId="0" borderId="18" xfId="0" applyNumberFormat="1" applyFont="1" applyBorder="1" applyAlignment="1">
      <alignment horizontal="left" vertical="center"/>
    </xf>
    <xf numFmtId="1" fontId="0" fillId="0" borderId="18" xfId="0" applyNumberFormat="1" applyFont="1" applyBorder="1" applyAlignment="1">
      <alignment horizontal="left" vertical="center"/>
    </xf>
    <xf numFmtId="2" fontId="0" fillId="0" borderId="18" xfId="0" applyNumberFormat="1" applyFont="1" applyBorder="1" applyAlignment="1">
      <alignment horizontal="left" vertical="center"/>
    </xf>
    <xf numFmtId="1" fontId="0" fillId="0" borderId="18" xfId="0" applyNumberFormat="1" applyFont="1" applyBorder="1" applyAlignment="1">
      <alignment horizontal="left" vertical="center"/>
    </xf>
    <xf numFmtId="1" fontId="0" fillId="0" borderId="16" xfId="0" applyNumberFormat="1" applyFont="1" applyBorder="1" applyAlignment="1">
      <alignment horizontal="left" vertical="center"/>
    </xf>
    <xf numFmtId="0" fontId="2" fillId="0" borderId="0" xfId="0" applyFont="1" applyBorder="1" applyAlignment="1">
      <alignment/>
    </xf>
    <xf numFmtId="0" fontId="2" fillId="0" borderId="6" xfId="0" applyFont="1" applyBorder="1" applyAlignment="1">
      <alignment/>
    </xf>
    <xf numFmtId="0" fontId="2" fillId="0" borderId="20" xfId="0" applyFont="1" applyFill="1" applyBorder="1" applyAlignment="1">
      <alignment horizontal="center"/>
    </xf>
    <xf numFmtId="0" fontId="2" fillId="0" borderId="8" xfId="0" applyFont="1" applyBorder="1" applyAlignment="1">
      <alignment horizontal="center"/>
    </xf>
    <xf numFmtId="0" fontId="2" fillId="0" borderId="21" xfId="0" applyFont="1" applyFill="1" applyBorder="1" applyAlignment="1">
      <alignment horizontal="center"/>
    </xf>
    <xf numFmtId="0" fontId="2" fillId="0" borderId="8" xfId="0" applyFont="1" applyFill="1" applyBorder="1" applyAlignment="1">
      <alignment horizontal="center"/>
    </xf>
    <xf numFmtId="0" fontId="2" fillId="0" borderId="22" xfId="0" applyFont="1" applyBorder="1" applyAlignment="1">
      <alignment horizontal="center"/>
    </xf>
    <xf numFmtId="0" fontId="2" fillId="0" borderId="21" xfId="0" applyFont="1" applyBorder="1" applyAlignment="1">
      <alignment horizontal="center"/>
    </xf>
    <xf numFmtId="0" fontId="15" fillId="0" borderId="0" xfId="0" applyFont="1" applyAlignment="1">
      <alignment/>
    </xf>
    <xf numFmtId="0" fontId="0" fillId="7" borderId="0" xfId="0" applyFill="1" applyAlignment="1">
      <alignment/>
    </xf>
    <xf numFmtId="0" fontId="16" fillId="0" borderId="0" xfId="0" applyFont="1" applyAlignment="1">
      <alignment/>
    </xf>
    <xf numFmtId="0" fontId="0" fillId="8" borderId="0" xfId="0" applyFill="1" applyAlignment="1">
      <alignment/>
    </xf>
    <xf numFmtId="0" fontId="0" fillId="0" borderId="0" xfId="0" applyFill="1" applyAlignment="1">
      <alignment/>
    </xf>
    <xf numFmtId="170" fontId="0" fillId="0" borderId="0" xfId="0" applyNumberFormat="1" applyBorder="1" applyAlignment="1">
      <alignment/>
    </xf>
    <xf numFmtId="171" fontId="0" fillId="0" borderId="23" xfId="0" applyNumberFormat="1" applyBorder="1" applyAlignment="1">
      <alignment/>
    </xf>
    <xf numFmtId="171" fontId="0" fillId="0" borderId="18" xfId="0" applyNumberFormat="1" applyBorder="1" applyAlignment="1">
      <alignment/>
    </xf>
    <xf numFmtId="1" fontId="0" fillId="0" borderId="18" xfId="0" applyNumberFormat="1" applyBorder="1" applyAlignment="1">
      <alignment/>
    </xf>
    <xf numFmtId="0" fontId="0" fillId="9" borderId="0" xfId="0" applyFill="1" applyAlignment="1">
      <alignment/>
    </xf>
    <xf numFmtId="0" fontId="0" fillId="6" borderId="12" xfId="0" applyNumberFormat="1" applyFont="1" applyFill="1" applyBorder="1" applyAlignment="1">
      <alignment horizontal="center"/>
    </xf>
    <xf numFmtId="171" fontId="0" fillId="0" borderId="8" xfId="0" applyNumberFormat="1" applyFont="1" applyBorder="1" applyAlignment="1">
      <alignment horizontal="left" vertical="center"/>
    </xf>
    <xf numFmtId="171" fontId="5" fillId="0" borderId="0" xfId="0" applyNumberFormat="1" applyFont="1" applyBorder="1" applyAlignment="1" quotePrefix="1">
      <alignment horizontal="right"/>
    </xf>
    <xf numFmtId="1" fontId="5" fillId="0" borderId="0" xfId="0" applyNumberFormat="1" applyFont="1" applyBorder="1" applyAlignment="1">
      <alignment/>
    </xf>
    <xf numFmtId="1" fontId="0" fillId="0" borderId="8" xfId="0" applyNumberFormat="1" applyBorder="1" applyAlignment="1">
      <alignment horizontal="center"/>
    </xf>
    <xf numFmtId="1" fontId="0" fillId="0" borderId="8" xfId="0" applyNumberFormat="1" applyFont="1" applyBorder="1" applyAlignment="1">
      <alignment horizontal="left" vertical="center"/>
    </xf>
    <xf numFmtId="171" fontId="5" fillId="0" borderId="0" xfId="0" applyNumberFormat="1" applyFont="1" applyBorder="1" applyAlignment="1">
      <alignment/>
    </xf>
    <xf numFmtId="0" fontId="5" fillId="0" borderId="0" xfId="0" applyFont="1" applyBorder="1" applyAlignment="1">
      <alignment/>
    </xf>
    <xf numFmtId="1" fontId="18" fillId="0" borderId="0" xfId="0" applyNumberFormat="1" applyFont="1" applyBorder="1" applyAlignment="1">
      <alignment horizontal="center" vertical="center"/>
    </xf>
    <xf numFmtId="2" fontId="5" fillId="0" borderId="0" xfId="0" applyNumberFormat="1" applyFont="1" applyBorder="1" applyAlignment="1">
      <alignment horizontal="center"/>
    </xf>
    <xf numFmtId="1" fontId="19" fillId="0" borderId="7" xfId="0" applyNumberFormat="1" applyFont="1" applyBorder="1" applyAlignment="1">
      <alignment horizontal="center" vertical="center"/>
    </xf>
    <xf numFmtId="1" fontId="2" fillId="0" borderId="8" xfId="0" applyNumberFormat="1" applyFont="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1" fontId="3" fillId="0" borderId="8" xfId="0" applyNumberFormat="1" applyFont="1" applyBorder="1" applyAlignment="1">
      <alignment horizontal="left" vertical="center"/>
    </xf>
    <xf numFmtId="2" fontId="18" fillId="0" borderId="0" xfId="0" applyNumberFormat="1" applyFont="1" applyBorder="1" applyAlignment="1">
      <alignment horizontal="right" vertical="center"/>
    </xf>
    <xf numFmtId="1" fontId="0" fillId="0" borderId="10" xfId="0" applyNumberFormat="1" applyFont="1" applyBorder="1" applyAlignment="1">
      <alignment horizontal="left" vertical="center"/>
    </xf>
    <xf numFmtId="1" fontId="0" fillId="0" borderId="16" xfId="0" applyNumberFormat="1" applyBorder="1" applyAlignment="1">
      <alignment/>
    </xf>
    <xf numFmtId="0" fontId="0" fillId="0" borderId="10" xfId="0" applyBorder="1" applyAlignment="1">
      <alignment/>
    </xf>
    <xf numFmtId="1" fontId="20" fillId="0" borderId="0" xfId="0" applyNumberFormat="1" applyFont="1" applyBorder="1" applyAlignment="1">
      <alignment horizontal="center"/>
    </xf>
    <xf numFmtId="1" fontId="20" fillId="0" borderId="0" xfId="0" applyNumberFormat="1" applyFont="1" applyAlignment="1">
      <alignment horizontal="center"/>
    </xf>
    <xf numFmtId="2" fontId="20" fillId="0" borderId="0" xfId="0" applyNumberFormat="1" applyFont="1" applyAlignment="1">
      <alignment horizontal="center"/>
    </xf>
    <xf numFmtId="171" fontId="20" fillId="0" borderId="0" xfId="0" applyNumberFormat="1" applyFont="1" applyAlignment="1">
      <alignment horizontal="center"/>
    </xf>
    <xf numFmtId="1" fontId="19" fillId="0" borderId="0" xfId="0" applyNumberFormat="1" applyFont="1" applyBorder="1" applyAlignment="1">
      <alignment horizontal="center" vertical="center"/>
    </xf>
    <xf numFmtId="1" fontId="19" fillId="0" borderId="0" xfId="0" applyNumberFormat="1" applyFont="1" applyBorder="1" applyAlignment="1">
      <alignment horizontal="center"/>
    </xf>
    <xf numFmtId="171" fontId="19" fillId="0" borderId="0" xfId="0" applyNumberFormat="1" applyFont="1" applyBorder="1" applyAlignment="1" quotePrefix="1">
      <alignment horizontal="right"/>
    </xf>
    <xf numFmtId="1" fontId="19" fillId="0" borderId="0" xfId="0" applyNumberFormat="1" applyFont="1" applyBorder="1" applyAlignment="1">
      <alignment/>
    </xf>
    <xf numFmtId="1" fontId="19" fillId="0" borderId="8" xfId="0" applyNumberFormat="1" applyFont="1" applyBorder="1" applyAlignment="1">
      <alignment horizontal="center"/>
    </xf>
    <xf numFmtId="171" fontId="19" fillId="0" borderId="0" xfId="0" applyNumberFormat="1" applyFont="1" applyBorder="1" applyAlignment="1">
      <alignment/>
    </xf>
    <xf numFmtId="0" fontId="19" fillId="0" borderId="0" xfId="0" applyFont="1" applyBorder="1" applyAlignment="1">
      <alignment horizontal="center"/>
    </xf>
    <xf numFmtId="0" fontId="19" fillId="0" borderId="0" xfId="0" applyFont="1" applyBorder="1" applyAlignment="1">
      <alignment/>
    </xf>
    <xf numFmtId="171" fontId="19" fillId="0" borderId="0" xfId="0" applyNumberFormat="1" applyFont="1" applyBorder="1" applyAlignment="1">
      <alignment horizontal="center"/>
    </xf>
    <xf numFmtId="2" fontId="19" fillId="0" borderId="0" xfId="0" applyNumberFormat="1" applyFont="1" applyBorder="1" applyAlignment="1">
      <alignment horizontal="center"/>
    </xf>
    <xf numFmtId="0" fontId="19"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8" xfId="0" applyFont="1" applyBorder="1" applyAlignment="1">
      <alignment/>
    </xf>
    <xf numFmtId="171" fontId="5" fillId="0" borderId="0" xfId="0" applyNumberFormat="1" applyFont="1" applyFill="1" applyBorder="1" applyAlignment="1">
      <alignment horizontal="right"/>
    </xf>
    <xf numFmtId="2" fontId="5" fillId="0" borderId="0" xfId="0" applyNumberFormat="1" applyFont="1" applyFill="1" applyBorder="1" applyAlignment="1">
      <alignment horizontal="right"/>
    </xf>
    <xf numFmtId="2" fontId="21" fillId="0" borderId="0" xfId="0" applyNumberFormat="1" applyFont="1" applyFill="1" applyBorder="1" applyAlignment="1">
      <alignment horizontal="right"/>
    </xf>
    <xf numFmtId="2" fontId="22" fillId="0" borderId="0" xfId="0" applyNumberFormat="1" applyFont="1" applyFill="1" applyBorder="1" applyAlignment="1">
      <alignment horizontal="right"/>
    </xf>
    <xf numFmtId="171" fontId="0" fillId="0" borderId="0" xfId="0" applyNumberFormat="1" applyAlignment="1">
      <alignment/>
    </xf>
    <xf numFmtId="1" fontId="5" fillId="0" borderId="0" xfId="0" applyNumberFormat="1" applyFont="1" applyBorder="1" applyAlignment="1">
      <alignment horizontal="center"/>
    </xf>
    <xf numFmtId="0" fontId="5" fillId="0" borderId="0" xfId="0" applyFont="1" applyBorder="1" applyAlignment="1">
      <alignment horizontal="center"/>
    </xf>
    <xf numFmtId="171" fontId="0" fillId="0" borderId="0" xfId="0" applyNumberFormat="1" applyFont="1" applyAlignment="1">
      <alignment/>
    </xf>
    <xf numFmtId="171" fontId="0" fillId="0" borderId="0" xfId="0" applyNumberFormat="1" applyFont="1" applyBorder="1" applyAlignment="1" quotePrefix="1">
      <alignment horizontal="right"/>
    </xf>
    <xf numFmtId="0" fontId="0" fillId="0" borderId="0" xfId="0" applyFont="1" applyAlignment="1">
      <alignment/>
    </xf>
    <xf numFmtId="171" fontId="0" fillId="0" borderId="0" xfId="0" applyNumberFormat="1" applyFont="1" applyBorder="1" applyAlignment="1">
      <alignment/>
    </xf>
    <xf numFmtId="2" fontId="0" fillId="0" borderId="0" xfId="0" applyNumberFormat="1" applyFont="1" applyAlignment="1">
      <alignment/>
    </xf>
    <xf numFmtId="2" fontId="0" fillId="0" borderId="0" xfId="0" applyNumberFormat="1" applyFont="1" applyBorder="1" applyAlignment="1">
      <alignment horizontal="center"/>
    </xf>
    <xf numFmtId="1" fontId="0" fillId="0" borderId="0" xfId="0" applyNumberFormat="1" applyFont="1" applyBorder="1" applyAlignment="1">
      <alignment/>
    </xf>
    <xf numFmtId="0" fontId="0" fillId="0" borderId="0" xfId="0" applyFont="1" applyBorder="1" applyAlignment="1">
      <alignment/>
    </xf>
    <xf numFmtId="171" fontId="5" fillId="0" borderId="0" xfId="0" applyNumberFormat="1" applyFont="1" applyBorder="1" applyAlignment="1" quotePrefix="1">
      <alignment horizontal="center"/>
    </xf>
    <xf numFmtId="1" fontId="23" fillId="0" borderId="8" xfId="0" applyNumberFormat="1" applyFont="1" applyBorder="1" applyAlignment="1">
      <alignment horizontal="center"/>
    </xf>
    <xf numFmtId="1" fontId="16" fillId="0" borderId="0" xfId="0" applyNumberFormat="1" applyFont="1" applyAlignment="1">
      <alignment/>
    </xf>
    <xf numFmtId="0" fontId="16" fillId="0" borderId="0" xfId="0" applyFont="1" applyBorder="1" applyAlignment="1">
      <alignment/>
    </xf>
    <xf numFmtId="0" fontId="24" fillId="0" borderId="14" xfId="0" applyFont="1" applyBorder="1" applyAlignment="1">
      <alignment horizontal="center"/>
    </xf>
    <xf numFmtId="171" fontId="8" fillId="0" borderId="7" xfId="0" applyNumberFormat="1" applyFont="1" applyBorder="1" applyAlignment="1">
      <alignment/>
    </xf>
    <xf numFmtId="0" fontId="8" fillId="0" borderId="0" xfId="0" applyFont="1" applyAlignment="1">
      <alignment/>
    </xf>
    <xf numFmtId="1" fontId="8" fillId="0" borderId="15" xfId="0" applyNumberFormat="1" applyFont="1" applyBorder="1" applyAlignment="1">
      <alignment/>
    </xf>
    <xf numFmtId="2" fontId="26" fillId="0" borderId="0" xfId="0" applyNumberFormat="1" applyFont="1" applyAlignment="1">
      <alignment horizontal="center"/>
    </xf>
    <xf numFmtId="0" fontId="8" fillId="0" borderId="7" xfId="0" applyFont="1" applyBorder="1" applyAlignment="1">
      <alignment/>
    </xf>
    <xf numFmtId="1" fontId="8" fillId="0" borderId="8" xfId="0" applyNumberFormat="1" applyFont="1" applyBorder="1" applyAlignment="1">
      <alignment horizontal="left" vertical="center"/>
    </xf>
    <xf numFmtId="171" fontId="0" fillId="9" borderId="0" xfId="0" applyNumberFormat="1" applyFont="1" applyFill="1" applyBorder="1" applyAlignment="1">
      <alignment horizontal="center" vertical="center"/>
    </xf>
    <xf numFmtId="0" fontId="24" fillId="0" borderId="20"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0" fillId="0" borderId="8" xfId="0" applyBorder="1" applyAlignment="1">
      <alignment horizontal="center"/>
    </xf>
    <xf numFmtId="0" fontId="8" fillId="0" borderId="0"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xf>
    <xf numFmtId="0" fontId="0" fillId="0" borderId="16" xfId="0" applyBorder="1" applyAlignment="1">
      <alignment horizontal="center"/>
    </xf>
    <xf numFmtId="0" fontId="0" fillId="0" borderId="10" xfId="0" applyBorder="1" applyAlignment="1">
      <alignment horizontal="center"/>
    </xf>
    <xf numFmtId="170" fontId="0" fillId="0" borderId="22" xfId="0" applyNumberFormat="1" applyFont="1" applyBorder="1" applyAlignment="1">
      <alignment horizontal="left" vertical="center"/>
    </xf>
    <xf numFmtId="171" fontId="0" fillId="0" borderId="8" xfId="0" applyNumberFormat="1" applyFont="1" applyBorder="1" applyAlignment="1">
      <alignment horizontal="left" vertical="center"/>
    </xf>
    <xf numFmtId="171" fontId="8" fillId="0" borderId="8" xfId="0" applyNumberFormat="1" applyFont="1" applyBorder="1" applyAlignment="1">
      <alignment horizontal="left" vertical="center"/>
    </xf>
    <xf numFmtId="1" fontId="8" fillId="0" borderId="22" xfId="0" applyNumberFormat="1" applyFont="1" applyBorder="1" applyAlignment="1">
      <alignment horizontal="left" vertical="center"/>
    </xf>
    <xf numFmtId="2" fontId="0" fillId="0" borderId="8" xfId="0" applyNumberFormat="1" applyFont="1" applyBorder="1" applyAlignment="1">
      <alignment horizontal="left" vertical="center"/>
    </xf>
    <xf numFmtId="1" fontId="8" fillId="0" borderId="22" xfId="0" applyNumberFormat="1" applyFont="1" applyBorder="1" applyAlignment="1">
      <alignment horizontal="left" vertical="center"/>
    </xf>
    <xf numFmtId="2" fontId="0" fillId="0" borderId="22" xfId="0" applyNumberFormat="1" applyFont="1" applyBorder="1" applyAlignment="1">
      <alignment horizontal="left" vertical="center"/>
    </xf>
    <xf numFmtId="2" fontId="0" fillId="0" borderId="5" xfId="0" applyNumberFormat="1" applyBorder="1" applyAlignment="1">
      <alignment/>
    </xf>
    <xf numFmtId="2" fontId="0" fillId="0" borderId="6" xfId="0" applyNumberFormat="1" applyFont="1" applyBorder="1" applyAlignment="1">
      <alignment horizontal="left" vertical="center"/>
    </xf>
    <xf numFmtId="170" fontId="0" fillId="0" borderId="8" xfId="0" applyNumberFormat="1" applyFont="1" applyBorder="1" applyAlignment="1">
      <alignment horizontal="left" vertical="center"/>
    </xf>
    <xf numFmtId="0" fontId="0" fillId="0" borderId="17" xfId="0" applyBorder="1" applyAlignment="1">
      <alignment horizontal="center"/>
    </xf>
    <xf numFmtId="0" fontId="0" fillId="0" borderId="23" xfId="0" applyBorder="1" applyAlignment="1">
      <alignment horizontal="center"/>
    </xf>
    <xf numFmtId="0" fontId="0" fillId="0" borderId="21" xfId="0" applyBorder="1" applyAlignment="1">
      <alignment horizontal="center"/>
    </xf>
    <xf numFmtId="0" fontId="0" fillId="0" borderId="7" xfId="0" applyBorder="1" applyAlignment="1">
      <alignment horizont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0" fontId="0" fillId="6" borderId="0" xfId="0" applyFill="1" applyAlignment="1">
      <alignment/>
    </xf>
    <xf numFmtId="1" fontId="20" fillId="0" borderId="7" xfId="0" applyNumberFormat="1" applyFont="1" applyBorder="1" applyAlignment="1">
      <alignment/>
    </xf>
    <xf numFmtId="0" fontId="0" fillId="0" borderId="0" xfId="0" applyAlignment="1">
      <alignment horizontal="right"/>
    </xf>
    <xf numFmtId="0" fontId="2" fillId="0" borderId="7" xfId="0" applyFont="1" applyBorder="1" applyAlignment="1">
      <alignment horizontal="center" vertical="center"/>
    </xf>
    <xf numFmtId="0" fontId="2" fillId="0" borderId="0"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Saxtons</a:t>
            </a:r>
          </a:p>
        </c:rich>
      </c:tx>
      <c:layout/>
      <c:spPr>
        <a:noFill/>
        <a:ln>
          <a:noFill/>
        </a:ln>
      </c:spPr>
    </c:title>
    <c:plotArea>
      <c:layout>
        <c:manualLayout>
          <c:xMode val="edge"/>
          <c:yMode val="edge"/>
          <c:x val="0.08625"/>
          <c:y val="0.15825"/>
          <c:w val="0.7435"/>
          <c:h val="0.68"/>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Summary!$D$42:$D$49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Summary!$D$38:$D$39</c:f>
              <c:numCache>
                <c:ptCount val="2"/>
                <c:pt idx="0">
                  <c:v>0</c:v>
                </c:pt>
                <c:pt idx="1">
                  <c:v>0</c:v>
                </c:pt>
              </c:numCache>
            </c:numRef>
          </c:yVal>
          <c:smooth val="0"/>
        </c:ser>
        <c:axId val="46928946"/>
        <c:axId val="19707331"/>
      </c:scatterChart>
      <c:valAx>
        <c:axId val="46928946"/>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19707331"/>
        <c:crosses val="max"/>
        <c:crossBetween val="midCat"/>
        <c:dispUnits/>
      </c:valAx>
      <c:valAx>
        <c:axId val="19707331"/>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46928946"/>
        <c:crosses val="max"/>
        <c:crossBetween val="midCat"/>
        <c:dispUnits/>
        <c:majorUnit val="1"/>
      </c:valAx>
      <c:spPr>
        <a:noFill/>
        <a:ln>
          <a:noFill/>
        </a:ln>
      </c:spPr>
    </c:plotArea>
    <c:legend>
      <c:legendPos val="r"/>
      <c:layout>
        <c:manualLayout>
          <c:xMode val="edge"/>
          <c:yMode val="edge"/>
          <c:x val="0.775"/>
          <c:y val="0.28675"/>
          <c:w val="0.225"/>
          <c:h val="0.317"/>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Brook lwr</a:t>
            </a:r>
          </a:p>
        </c:rich>
      </c:tx>
      <c:layout/>
      <c:spPr>
        <a:noFill/>
        <a:ln>
          <a:noFill/>
        </a:ln>
      </c:spPr>
    </c:title>
    <c:plotArea>
      <c:layout>
        <c:manualLayout>
          <c:xMode val="edge"/>
          <c:yMode val="edge"/>
          <c:x val="0.05875"/>
          <c:y val="0.15725"/>
          <c:w val="0.7675"/>
          <c:h val="0.72575"/>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Summary!$M$42:$M$49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Summary!$M$38:$M$39</c:f>
              <c:numCache>
                <c:ptCount val="2"/>
                <c:pt idx="0">
                  <c:v>0</c:v>
                </c:pt>
                <c:pt idx="1">
                  <c:v>0</c:v>
                </c:pt>
              </c:numCache>
            </c:numRef>
          </c:yVal>
          <c:smooth val="0"/>
        </c:ser>
        <c:axId val="67068332"/>
        <c:axId val="66744077"/>
      </c:scatterChart>
      <c:valAx>
        <c:axId val="67068332"/>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66744077"/>
        <c:crosses val="max"/>
        <c:crossBetween val="midCat"/>
        <c:dispUnits/>
      </c:valAx>
      <c:valAx>
        <c:axId val="66744077"/>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67068332"/>
        <c:crosses val="max"/>
        <c:crossBetween val="midCat"/>
        <c:dispUnits/>
        <c:majorUnit val="1"/>
      </c:valAx>
      <c:spPr>
        <a:noFill/>
        <a:ln>
          <a:noFill/>
        </a:ln>
      </c:spPr>
    </c:plotArea>
    <c:legend>
      <c:legendPos val="r"/>
      <c:layout>
        <c:manualLayout>
          <c:xMode val="edge"/>
          <c:yMode val="edge"/>
          <c:x val="0.7755"/>
          <c:y val="0.31075"/>
          <c:w val="0.2245"/>
          <c:h val="0.314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Maitai upr</a:t>
            </a:r>
          </a:p>
        </c:rich>
      </c:tx>
      <c:layout/>
      <c:spPr>
        <a:noFill/>
        <a:ln>
          <a:noFill/>
        </a:ln>
      </c:spPr>
    </c:title>
    <c:plotArea>
      <c:layout>
        <c:manualLayout>
          <c:xMode val="edge"/>
          <c:yMode val="edge"/>
          <c:x val="0.05875"/>
          <c:y val="0.15625"/>
          <c:w val="0.7675"/>
          <c:h val="0.727"/>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Summary!$N$42:$N$49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Summary!$N$38:$N$39</c:f>
              <c:numCache>
                <c:ptCount val="2"/>
                <c:pt idx="0">
                  <c:v>0</c:v>
                </c:pt>
                <c:pt idx="1">
                  <c:v>0</c:v>
                </c:pt>
              </c:numCache>
            </c:numRef>
          </c:yVal>
          <c:smooth val="0"/>
        </c:ser>
        <c:axId val="63825782"/>
        <c:axId val="37561127"/>
      </c:scatterChart>
      <c:valAx>
        <c:axId val="63825782"/>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37561127"/>
        <c:crosses val="max"/>
        <c:crossBetween val="midCat"/>
        <c:dispUnits/>
      </c:valAx>
      <c:valAx>
        <c:axId val="37561127"/>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63825782"/>
        <c:crosses val="max"/>
        <c:crossBetween val="midCat"/>
        <c:dispUnits/>
        <c:majorUnit val="1"/>
      </c:valAx>
      <c:spPr>
        <a:noFill/>
        <a:ln>
          <a:noFill/>
        </a:ln>
      </c:spPr>
    </c:plotArea>
    <c:legend>
      <c:legendPos val="r"/>
      <c:layout>
        <c:manualLayout>
          <c:xMode val="edge"/>
          <c:yMode val="edge"/>
          <c:x val="0.776"/>
          <c:y val="0.30975"/>
          <c:w val="0.224"/>
          <c:h val="0.313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Maitai upr/mid</a:t>
            </a:r>
          </a:p>
        </c:rich>
      </c:tx>
      <c:layout/>
      <c:spPr>
        <a:noFill/>
        <a:ln>
          <a:noFill/>
        </a:ln>
      </c:spPr>
    </c:title>
    <c:plotArea>
      <c:layout>
        <c:manualLayout>
          <c:xMode val="edge"/>
          <c:yMode val="edge"/>
          <c:x val="0.0585"/>
          <c:y val="0.15575"/>
          <c:w val="0.76775"/>
          <c:h val="0.728"/>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Summary!$O$42:$O$49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Summary!$O$38:$O$39</c:f>
              <c:numCache>
                <c:ptCount val="2"/>
                <c:pt idx="0">
                  <c:v>0</c:v>
                </c:pt>
                <c:pt idx="1">
                  <c:v>0</c:v>
                </c:pt>
              </c:numCache>
            </c:numRef>
          </c:yVal>
          <c:smooth val="0"/>
        </c:ser>
        <c:axId val="2505824"/>
        <c:axId val="22552417"/>
      </c:scatterChart>
      <c:valAx>
        <c:axId val="2505824"/>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22552417"/>
        <c:crosses val="max"/>
        <c:crossBetween val="midCat"/>
        <c:dispUnits/>
      </c:valAx>
      <c:valAx>
        <c:axId val="22552417"/>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2505824"/>
        <c:crosses val="max"/>
        <c:crossBetween val="midCat"/>
        <c:dispUnits/>
        <c:majorUnit val="1"/>
      </c:valAx>
      <c:spPr>
        <a:noFill/>
        <a:ln>
          <a:noFill/>
        </a:ln>
      </c:spPr>
    </c:plotArea>
    <c:legend>
      <c:legendPos val="r"/>
      <c:layout>
        <c:manualLayout>
          <c:xMode val="edge"/>
          <c:yMode val="edge"/>
          <c:x val="0.7765"/>
          <c:y val="0.31225"/>
          <c:w val="0.2235"/>
          <c:h val="0.312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Maitai lwr</a:t>
            </a:r>
          </a:p>
        </c:rich>
      </c:tx>
      <c:layout/>
      <c:spPr>
        <a:noFill/>
        <a:ln>
          <a:noFill/>
        </a:ln>
      </c:spPr>
    </c:title>
    <c:plotArea>
      <c:layout>
        <c:manualLayout>
          <c:xMode val="edge"/>
          <c:yMode val="edge"/>
          <c:x val="0.05825"/>
          <c:y val="0.15525"/>
          <c:w val="0.768"/>
          <c:h val="0.729"/>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Summary!$P$42:$P$49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Summary!$P$38:$P$39</c:f>
              <c:numCache>
                <c:ptCount val="2"/>
                <c:pt idx="0">
                  <c:v>0</c:v>
                </c:pt>
                <c:pt idx="1">
                  <c:v>0</c:v>
                </c:pt>
              </c:numCache>
            </c:numRef>
          </c:yVal>
          <c:smooth val="0"/>
        </c:ser>
        <c:axId val="1645162"/>
        <c:axId val="14806459"/>
      </c:scatterChart>
      <c:valAx>
        <c:axId val="1645162"/>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14806459"/>
        <c:crosses val="max"/>
        <c:crossBetween val="midCat"/>
        <c:dispUnits/>
      </c:valAx>
      <c:valAx>
        <c:axId val="14806459"/>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1645162"/>
        <c:crosses val="max"/>
        <c:crossBetween val="midCat"/>
        <c:dispUnits/>
        <c:majorUnit val="1"/>
      </c:valAx>
      <c:spPr>
        <a:noFill/>
        <a:ln>
          <a:noFill/>
        </a:ln>
      </c:spPr>
    </c:plotArea>
    <c:legend>
      <c:legendPos val="r"/>
      <c:layout>
        <c:manualLayout>
          <c:xMode val="edge"/>
          <c:yMode val="edge"/>
          <c:x val="0.777"/>
          <c:y val="0.311"/>
          <c:w val="0.223"/>
          <c:h val="0.311"/>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Sharland</a:t>
            </a:r>
          </a:p>
        </c:rich>
      </c:tx>
      <c:layout/>
      <c:spPr>
        <a:noFill/>
        <a:ln>
          <a:noFill/>
        </a:ln>
      </c:spPr>
    </c:title>
    <c:plotArea>
      <c:layout>
        <c:manualLayout>
          <c:xMode val="edge"/>
          <c:yMode val="edge"/>
          <c:x val="0.05825"/>
          <c:y val="0.15475"/>
          <c:w val="0.768"/>
          <c:h val="0.73"/>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Summary!$Q$42:$Q$49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Summary!$Q$38:$Q$39</c:f>
              <c:numCache>
                <c:ptCount val="2"/>
                <c:pt idx="0">
                  <c:v>0</c:v>
                </c:pt>
                <c:pt idx="1">
                  <c:v>0</c:v>
                </c:pt>
              </c:numCache>
            </c:numRef>
          </c:yVal>
          <c:smooth val="0"/>
        </c:ser>
        <c:axId val="66149268"/>
        <c:axId val="58472501"/>
      </c:scatterChart>
      <c:valAx>
        <c:axId val="66149268"/>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58472501"/>
        <c:crosses val="max"/>
        <c:crossBetween val="midCat"/>
        <c:dispUnits/>
      </c:valAx>
      <c:valAx>
        <c:axId val="58472501"/>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66149268"/>
        <c:crosses val="max"/>
        <c:crossBetween val="midCat"/>
        <c:dispUnits/>
        <c:majorUnit val="1"/>
      </c:valAx>
      <c:spPr>
        <a:noFill/>
        <a:ln>
          <a:noFill/>
        </a:ln>
      </c:spPr>
    </c:plotArea>
    <c:legend>
      <c:legendPos val="r"/>
      <c:layout>
        <c:manualLayout>
          <c:xMode val="edge"/>
          <c:yMode val="edge"/>
          <c:x val="0.7775"/>
          <c:y val="0.31375"/>
          <c:w val="0.2225"/>
          <c:h val="0.31"/>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Groom</a:t>
            </a:r>
          </a:p>
        </c:rich>
      </c:tx>
      <c:layout/>
      <c:spPr>
        <a:noFill/>
        <a:ln>
          <a:noFill/>
        </a:ln>
      </c:spPr>
    </c:title>
    <c:plotArea>
      <c:layout>
        <c:manualLayout>
          <c:xMode val="edge"/>
          <c:yMode val="edge"/>
          <c:x val="0.058"/>
          <c:y val="0.154"/>
          <c:w val="0.76825"/>
          <c:h val="0.731"/>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Summary!$R$42:$R$49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Summary!$R$38:$R$39</c:f>
              <c:numCache>
                <c:ptCount val="2"/>
                <c:pt idx="0">
                  <c:v>0</c:v>
                </c:pt>
                <c:pt idx="1">
                  <c:v>0</c:v>
                </c:pt>
              </c:numCache>
            </c:numRef>
          </c:yVal>
          <c:smooth val="0"/>
        </c:ser>
        <c:axId val="56490462"/>
        <c:axId val="38652111"/>
      </c:scatterChart>
      <c:valAx>
        <c:axId val="56490462"/>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38652111"/>
        <c:crosses val="max"/>
        <c:crossBetween val="midCat"/>
        <c:dispUnits/>
      </c:valAx>
      <c:valAx>
        <c:axId val="38652111"/>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56490462"/>
        <c:crosses val="max"/>
        <c:crossBetween val="midCat"/>
        <c:dispUnits/>
        <c:majorUnit val="1"/>
      </c:valAx>
      <c:spPr>
        <a:noFill/>
        <a:ln>
          <a:noFill/>
        </a:ln>
      </c:spPr>
    </c:plotArea>
    <c:legend>
      <c:legendPos val="r"/>
      <c:layout>
        <c:manualLayout>
          <c:xMode val="edge"/>
          <c:yMode val="edge"/>
          <c:x val="0.778"/>
          <c:y val="0.3125"/>
          <c:w val="0.222"/>
          <c:h val="0.308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Wakapuaka upr</a:t>
            </a:r>
          </a:p>
        </c:rich>
      </c:tx>
      <c:layout/>
      <c:spPr>
        <a:noFill/>
        <a:ln>
          <a:noFill/>
        </a:ln>
      </c:spPr>
    </c:title>
    <c:plotArea>
      <c:layout>
        <c:manualLayout>
          <c:xMode val="edge"/>
          <c:yMode val="edge"/>
          <c:x val="0.059"/>
          <c:y val="0.15725"/>
          <c:w val="0.76725"/>
          <c:h val="0.72575"/>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Summary!$S$42:$S$49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Summary!$S$38:$S$39</c:f>
              <c:numCache>
                <c:ptCount val="2"/>
                <c:pt idx="0">
                  <c:v>0</c:v>
                </c:pt>
                <c:pt idx="1">
                  <c:v>0</c:v>
                </c:pt>
              </c:numCache>
            </c:numRef>
          </c:yVal>
          <c:smooth val="0"/>
        </c:ser>
        <c:axId val="12324680"/>
        <c:axId val="43813257"/>
      </c:scatterChart>
      <c:valAx>
        <c:axId val="12324680"/>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43813257"/>
        <c:crosses val="max"/>
        <c:crossBetween val="midCat"/>
        <c:dispUnits/>
      </c:valAx>
      <c:valAx>
        <c:axId val="43813257"/>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12324680"/>
        <c:crosses val="max"/>
        <c:crossBetween val="midCat"/>
        <c:dispUnits/>
        <c:majorUnit val="1"/>
      </c:valAx>
      <c:spPr>
        <a:noFill/>
        <a:ln>
          <a:noFill/>
        </a:ln>
      </c:spPr>
    </c:plotArea>
    <c:legend>
      <c:legendPos val="r"/>
      <c:layout>
        <c:manualLayout>
          <c:xMode val="edge"/>
          <c:yMode val="edge"/>
          <c:x val="0.775"/>
          <c:y val="0.31075"/>
          <c:w val="0.225"/>
          <c:h val="0.314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Wakapuaka mid</a:t>
            </a:r>
          </a:p>
        </c:rich>
      </c:tx>
      <c:layout/>
      <c:spPr>
        <a:noFill/>
        <a:ln>
          <a:noFill/>
        </a:ln>
      </c:spPr>
    </c:title>
    <c:plotArea>
      <c:layout>
        <c:manualLayout>
          <c:xMode val="edge"/>
          <c:yMode val="edge"/>
          <c:x val="0.05875"/>
          <c:y val="0.15625"/>
          <c:w val="0.7675"/>
          <c:h val="0.727"/>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Summary!$T$42:$T$49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Summary!$T$38:$T$39</c:f>
              <c:numCache>
                <c:ptCount val="2"/>
                <c:pt idx="0">
                  <c:v>0</c:v>
                </c:pt>
                <c:pt idx="1">
                  <c:v>0</c:v>
                </c:pt>
              </c:numCache>
            </c:numRef>
          </c:yVal>
          <c:smooth val="0"/>
        </c:ser>
        <c:axId val="58774994"/>
        <c:axId val="59212899"/>
      </c:scatterChart>
      <c:valAx>
        <c:axId val="58774994"/>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59212899"/>
        <c:crosses val="max"/>
        <c:crossBetween val="midCat"/>
        <c:dispUnits/>
      </c:valAx>
      <c:valAx>
        <c:axId val="59212899"/>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58774994"/>
        <c:crosses val="max"/>
        <c:crossBetween val="midCat"/>
        <c:dispUnits/>
        <c:majorUnit val="1"/>
      </c:valAx>
      <c:spPr>
        <a:noFill/>
        <a:ln>
          <a:noFill/>
        </a:ln>
      </c:spPr>
    </c:plotArea>
    <c:legend>
      <c:legendPos val="r"/>
      <c:layout>
        <c:manualLayout>
          <c:xMode val="edge"/>
          <c:yMode val="edge"/>
          <c:x val="0.7755"/>
          <c:y val="0.30975"/>
          <c:w val="0.2245"/>
          <c:h val="0.313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Wakapuaka lwr</a:t>
            </a:r>
          </a:p>
        </c:rich>
      </c:tx>
      <c:layout/>
      <c:spPr>
        <a:noFill/>
        <a:ln>
          <a:noFill/>
        </a:ln>
      </c:spPr>
    </c:title>
    <c:plotArea>
      <c:layout>
        <c:manualLayout>
          <c:xMode val="edge"/>
          <c:yMode val="edge"/>
          <c:x val="0.05875"/>
          <c:y val="0.15575"/>
          <c:w val="0.7675"/>
          <c:h val="0.728"/>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Summary!$U$42:$U$49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Summary!$U$38:$U$39</c:f>
              <c:numCache>
                <c:ptCount val="2"/>
                <c:pt idx="0">
                  <c:v>0</c:v>
                </c:pt>
                <c:pt idx="1">
                  <c:v>0</c:v>
                </c:pt>
              </c:numCache>
            </c:numRef>
          </c:yVal>
          <c:smooth val="0"/>
        </c:ser>
        <c:axId val="63154044"/>
        <c:axId val="31515485"/>
      </c:scatterChart>
      <c:valAx>
        <c:axId val="63154044"/>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31515485"/>
        <c:crosses val="max"/>
        <c:crossBetween val="midCat"/>
        <c:dispUnits/>
      </c:valAx>
      <c:valAx>
        <c:axId val="31515485"/>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63154044"/>
        <c:crosses val="max"/>
        <c:crossBetween val="midCat"/>
        <c:dispUnits/>
        <c:majorUnit val="1"/>
      </c:valAx>
      <c:spPr>
        <a:noFill/>
        <a:ln>
          <a:noFill/>
        </a:ln>
      </c:spPr>
    </c:plotArea>
    <c:legend>
      <c:legendPos val="r"/>
      <c:layout>
        <c:manualLayout>
          <c:xMode val="edge"/>
          <c:yMode val="edge"/>
          <c:x val="0.776"/>
          <c:y val="0.31225"/>
          <c:w val="0.224"/>
          <c:h val="0.312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Teal</a:t>
            </a:r>
          </a:p>
        </c:rich>
      </c:tx>
      <c:layout/>
      <c:spPr>
        <a:noFill/>
        <a:ln>
          <a:noFill/>
        </a:ln>
      </c:spPr>
    </c:title>
    <c:plotArea>
      <c:layout>
        <c:manualLayout>
          <c:xMode val="edge"/>
          <c:yMode val="edge"/>
          <c:x val="0.0585"/>
          <c:y val="0.15525"/>
          <c:w val="0.76775"/>
          <c:h val="0.729"/>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Summary!$V$42:$V$49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Summary!$V$38:$V$39</c:f>
              <c:numCache>
                <c:ptCount val="2"/>
                <c:pt idx="0">
                  <c:v>0</c:v>
                </c:pt>
                <c:pt idx="1">
                  <c:v>0</c:v>
                </c:pt>
              </c:numCache>
            </c:numRef>
          </c:yVal>
          <c:smooth val="0"/>
        </c:ser>
        <c:axId val="15203910"/>
        <c:axId val="2617463"/>
      </c:scatterChart>
      <c:valAx>
        <c:axId val="15203910"/>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2617463"/>
        <c:crosses val="max"/>
        <c:crossBetween val="midCat"/>
        <c:dispUnits/>
      </c:valAx>
      <c:valAx>
        <c:axId val="2617463"/>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15203910"/>
        <c:crosses val="max"/>
        <c:crossBetween val="midCat"/>
        <c:dispUnits/>
        <c:majorUnit val="1"/>
      </c:valAx>
      <c:spPr>
        <a:noFill/>
        <a:ln>
          <a:noFill/>
        </a:ln>
      </c:spPr>
    </c:plotArea>
    <c:legend>
      <c:legendPos val="r"/>
      <c:layout>
        <c:manualLayout>
          <c:xMode val="edge"/>
          <c:yMode val="edge"/>
          <c:x val="0.7765"/>
          <c:y val="0.311"/>
          <c:w val="0.2235"/>
          <c:h val="0.311"/>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Orphanage</a:t>
            </a:r>
          </a:p>
        </c:rich>
      </c:tx>
      <c:layout/>
      <c:spPr>
        <a:noFill/>
        <a:ln>
          <a:noFill/>
        </a:ln>
      </c:spPr>
    </c:title>
    <c:plotArea>
      <c:layout>
        <c:manualLayout>
          <c:xMode val="edge"/>
          <c:yMode val="edge"/>
          <c:x val="0.059"/>
          <c:y val="0.15775"/>
          <c:w val="0.76725"/>
          <c:h val="0.7245"/>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Summary!$E$42:$E$49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Summary!$E$38:$E$39</c:f>
              <c:numCache>
                <c:ptCount val="2"/>
                <c:pt idx="0">
                  <c:v>0</c:v>
                </c:pt>
                <c:pt idx="1">
                  <c:v>0</c:v>
                </c:pt>
              </c:numCache>
            </c:numRef>
          </c:yVal>
          <c:smooth val="0"/>
        </c:ser>
        <c:axId val="43148252"/>
        <c:axId val="52789949"/>
      </c:scatterChart>
      <c:valAx>
        <c:axId val="43148252"/>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52789949"/>
        <c:crosses val="max"/>
        <c:crossBetween val="midCat"/>
        <c:dispUnits/>
      </c:valAx>
      <c:valAx>
        <c:axId val="52789949"/>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43148252"/>
        <c:crosses val="max"/>
        <c:crossBetween val="midCat"/>
        <c:dispUnits/>
        <c:majorUnit val="1"/>
      </c:valAx>
      <c:spPr>
        <a:noFill/>
        <a:ln>
          <a:noFill/>
        </a:ln>
      </c:spPr>
    </c:plotArea>
    <c:legend>
      <c:legendPos val="r"/>
      <c:layout>
        <c:manualLayout>
          <c:xMode val="edge"/>
          <c:yMode val="edge"/>
          <c:x val="0.7755"/>
          <c:y val="0.312"/>
          <c:w val="0.2245"/>
          <c:h val="0.315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Lud upr</a:t>
            </a:r>
          </a:p>
        </c:rich>
      </c:tx>
      <c:layout/>
      <c:spPr>
        <a:noFill/>
        <a:ln>
          <a:noFill/>
        </a:ln>
      </c:spPr>
    </c:title>
    <c:plotArea>
      <c:layout>
        <c:manualLayout>
          <c:xMode val="edge"/>
          <c:yMode val="edge"/>
          <c:x val="0.05825"/>
          <c:y val="0.15475"/>
          <c:w val="0.768"/>
          <c:h val="0.73"/>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Summary!$W$42:$W$49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Summary!$W$38:$W$39</c:f>
              <c:numCache>
                <c:ptCount val="2"/>
                <c:pt idx="0">
                  <c:v>0</c:v>
                </c:pt>
                <c:pt idx="1">
                  <c:v>0</c:v>
                </c:pt>
              </c:numCache>
            </c:numRef>
          </c:yVal>
          <c:smooth val="0"/>
        </c:ser>
        <c:axId val="23557168"/>
        <c:axId val="10687921"/>
      </c:scatterChart>
      <c:valAx>
        <c:axId val="23557168"/>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10687921"/>
        <c:crosses val="max"/>
        <c:crossBetween val="midCat"/>
        <c:dispUnits/>
      </c:valAx>
      <c:valAx>
        <c:axId val="10687921"/>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23557168"/>
        <c:crosses val="max"/>
        <c:crossBetween val="midCat"/>
        <c:dispUnits/>
        <c:majorUnit val="1"/>
      </c:valAx>
      <c:spPr>
        <a:noFill/>
        <a:ln>
          <a:noFill/>
        </a:ln>
      </c:spPr>
    </c:plotArea>
    <c:legend>
      <c:legendPos val="r"/>
      <c:layout>
        <c:manualLayout>
          <c:xMode val="edge"/>
          <c:yMode val="edge"/>
          <c:x val="0.777"/>
          <c:y val="0.31375"/>
          <c:w val="0.223"/>
          <c:h val="0.31"/>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Lud lwr</a:t>
            </a:r>
          </a:p>
        </c:rich>
      </c:tx>
      <c:layout/>
      <c:spPr>
        <a:noFill/>
        <a:ln>
          <a:noFill/>
        </a:ln>
      </c:spPr>
    </c:title>
    <c:plotArea>
      <c:layout>
        <c:manualLayout>
          <c:xMode val="edge"/>
          <c:yMode val="edge"/>
          <c:x val="0.05825"/>
          <c:y val="0.154"/>
          <c:w val="0.768"/>
          <c:h val="0.731"/>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Summary!$X$42:$X$49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Summary!$X$38:$X$39</c:f>
              <c:numCache>
                <c:ptCount val="2"/>
                <c:pt idx="0">
                  <c:v>0</c:v>
                </c:pt>
                <c:pt idx="1">
                  <c:v>0</c:v>
                </c:pt>
              </c:numCache>
            </c:numRef>
          </c:yVal>
          <c:smooth val="0"/>
        </c:ser>
        <c:axId val="29082426"/>
        <c:axId val="60415243"/>
      </c:scatterChart>
      <c:valAx>
        <c:axId val="29082426"/>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60415243"/>
        <c:crosses val="max"/>
        <c:crossBetween val="midCat"/>
        <c:dispUnits/>
      </c:valAx>
      <c:valAx>
        <c:axId val="60415243"/>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29082426"/>
        <c:crosses val="max"/>
        <c:crossBetween val="midCat"/>
        <c:dispUnits/>
        <c:majorUnit val="1"/>
      </c:valAx>
      <c:spPr>
        <a:noFill/>
        <a:ln>
          <a:noFill/>
        </a:ln>
      </c:spPr>
    </c:plotArea>
    <c:legend>
      <c:legendPos val="r"/>
      <c:layout>
        <c:manualLayout>
          <c:xMode val="edge"/>
          <c:yMode val="edge"/>
          <c:x val="0.7775"/>
          <c:y val="0.3125"/>
          <c:w val="0.2225"/>
          <c:h val="0.308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Pritchards</a:t>
            </a:r>
          </a:p>
        </c:rich>
      </c:tx>
      <c:layout/>
      <c:spPr>
        <a:noFill/>
        <a:ln>
          <a:noFill/>
        </a:ln>
      </c:spPr>
    </c:title>
    <c:plotArea>
      <c:layout>
        <c:manualLayout>
          <c:xMode val="edge"/>
          <c:yMode val="edge"/>
          <c:x val="0.058"/>
          <c:y val="0.1535"/>
          <c:w val="0.76825"/>
          <c:h val="0.732"/>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Summary!$Y$42:$Y$49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Summary!$Y$38:$Y$39</c:f>
              <c:numCache>
                <c:ptCount val="2"/>
                <c:pt idx="0">
                  <c:v>0</c:v>
                </c:pt>
                <c:pt idx="1">
                  <c:v>0</c:v>
                </c:pt>
              </c:numCache>
            </c:numRef>
          </c:yVal>
          <c:smooth val="0"/>
        </c:ser>
        <c:axId val="6866276"/>
        <c:axId val="61796485"/>
      </c:scatterChart>
      <c:valAx>
        <c:axId val="6866276"/>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61796485"/>
        <c:crosses val="max"/>
        <c:crossBetween val="midCat"/>
        <c:dispUnits/>
      </c:valAx>
      <c:valAx>
        <c:axId val="61796485"/>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6866276"/>
        <c:crosses val="max"/>
        <c:crossBetween val="midCat"/>
        <c:dispUnits/>
        <c:majorUnit val="1"/>
      </c:valAx>
      <c:spPr>
        <a:noFill/>
        <a:ln>
          <a:noFill/>
        </a:ln>
      </c:spPr>
    </c:plotArea>
    <c:legend>
      <c:legendPos val="r"/>
      <c:layout>
        <c:manualLayout>
          <c:xMode val="edge"/>
          <c:yMode val="edge"/>
          <c:x val="0.778"/>
          <c:y val="0.315"/>
          <c:w val="0.222"/>
          <c:h val="0.307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Whangamoa upr</a:t>
            </a:r>
          </a:p>
        </c:rich>
      </c:tx>
      <c:layout/>
      <c:spPr>
        <a:noFill/>
        <a:ln>
          <a:noFill/>
        </a:ln>
      </c:spPr>
    </c:title>
    <c:plotArea>
      <c:layout>
        <c:manualLayout>
          <c:xMode val="edge"/>
          <c:yMode val="edge"/>
          <c:x val="0.05875"/>
          <c:y val="0.15625"/>
          <c:w val="0.7675"/>
          <c:h val="0.727"/>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Summary!$Z$42:$Z$49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Summary!$Z$38:$Z$39</c:f>
              <c:numCache>
                <c:ptCount val="2"/>
                <c:pt idx="0">
                  <c:v>0</c:v>
                </c:pt>
                <c:pt idx="1">
                  <c:v>0</c:v>
                </c:pt>
              </c:numCache>
            </c:numRef>
          </c:yVal>
          <c:smooth val="0"/>
        </c:ser>
        <c:axId val="19297454"/>
        <c:axId val="39459359"/>
      </c:scatterChart>
      <c:valAx>
        <c:axId val="19297454"/>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39459359"/>
        <c:crosses val="max"/>
        <c:crossBetween val="midCat"/>
        <c:dispUnits/>
      </c:valAx>
      <c:valAx>
        <c:axId val="39459359"/>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19297454"/>
        <c:crosses val="max"/>
        <c:crossBetween val="midCat"/>
        <c:dispUnits/>
        <c:majorUnit val="1"/>
      </c:valAx>
      <c:spPr>
        <a:noFill/>
        <a:ln>
          <a:noFill/>
        </a:ln>
      </c:spPr>
    </c:plotArea>
    <c:legend>
      <c:legendPos val="r"/>
      <c:layout>
        <c:manualLayout>
          <c:xMode val="edge"/>
          <c:yMode val="edge"/>
          <c:x val="0.7755"/>
          <c:y val="0.30975"/>
          <c:w val="0.2245"/>
          <c:h val="0.313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Whangamoa lwr</a:t>
            </a:r>
          </a:p>
        </c:rich>
      </c:tx>
      <c:layout/>
      <c:spPr>
        <a:noFill/>
        <a:ln>
          <a:noFill/>
        </a:ln>
      </c:spPr>
    </c:title>
    <c:plotArea>
      <c:layout>
        <c:manualLayout>
          <c:xMode val="edge"/>
          <c:yMode val="edge"/>
          <c:x val="0.05875"/>
          <c:y val="0.15575"/>
          <c:w val="0.7675"/>
          <c:h val="0.728"/>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Summary!$AA$42:$AA$49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Summary!$AA$38:$AA$39</c:f>
              <c:numCache>
                <c:ptCount val="2"/>
                <c:pt idx="0">
                  <c:v>0</c:v>
                </c:pt>
                <c:pt idx="1">
                  <c:v>0</c:v>
                </c:pt>
              </c:numCache>
            </c:numRef>
          </c:yVal>
          <c:smooth val="0"/>
        </c:ser>
        <c:axId val="19589912"/>
        <c:axId val="42091481"/>
      </c:scatterChart>
      <c:valAx>
        <c:axId val="19589912"/>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42091481"/>
        <c:crosses val="max"/>
        <c:crossBetween val="midCat"/>
        <c:dispUnits/>
      </c:valAx>
      <c:valAx>
        <c:axId val="42091481"/>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19589912"/>
        <c:crosses val="max"/>
        <c:crossBetween val="midCat"/>
        <c:dispUnits/>
        <c:majorUnit val="1"/>
      </c:valAx>
      <c:spPr>
        <a:noFill/>
        <a:ln>
          <a:noFill/>
        </a:ln>
      </c:spPr>
    </c:plotArea>
    <c:legend>
      <c:legendPos val="r"/>
      <c:layout>
        <c:manualLayout>
          <c:xMode val="edge"/>
          <c:yMode val="edge"/>
          <c:x val="0.776"/>
          <c:y val="0.31225"/>
          <c:w val="0.224"/>
          <c:h val="0.312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Graham</a:t>
            </a:r>
          </a:p>
        </c:rich>
      </c:tx>
      <c:layout/>
      <c:spPr>
        <a:noFill/>
        <a:ln>
          <a:noFill/>
        </a:ln>
      </c:spPr>
    </c:title>
    <c:plotArea>
      <c:layout>
        <c:manualLayout>
          <c:xMode val="edge"/>
          <c:yMode val="edge"/>
          <c:x val="0.0585"/>
          <c:y val="0.15525"/>
          <c:w val="0.76775"/>
          <c:h val="0.729"/>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Summary!$AB$42:$AB$49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Summary!$AB$38:$AB$39</c:f>
              <c:numCache>
                <c:ptCount val="2"/>
                <c:pt idx="0">
                  <c:v>0</c:v>
                </c:pt>
                <c:pt idx="1">
                  <c:v>0</c:v>
                </c:pt>
              </c:numCache>
            </c:numRef>
          </c:yVal>
          <c:smooth val="0"/>
        </c:ser>
        <c:axId val="43279010"/>
        <c:axId val="53966771"/>
      </c:scatterChart>
      <c:valAx>
        <c:axId val="43279010"/>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53966771"/>
        <c:crosses val="max"/>
        <c:crossBetween val="midCat"/>
        <c:dispUnits/>
      </c:valAx>
      <c:valAx>
        <c:axId val="53966771"/>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43279010"/>
        <c:crosses val="max"/>
        <c:crossBetween val="midCat"/>
        <c:dispUnits/>
        <c:majorUnit val="1"/>
      </c:valAx>
      <c:spPr>
        <a:noFill/>
        <a:ln>
          <a:noFill/>
        </a:ln>
      </c:spPr>
    </c:plotArea>
    <c:legend>
      <c:legendPos val="r"/>
      <c:layout>
        <c:manualLayout>
          <c:xMode val="edge"/>
          <c:yMode val="edge"/>
          <c:x val="0.7765"/>
          <c:y val="0.311"/>
          <c:w val="0.2235"/>
          <c:h val="0.311"/>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Collins</a:t>
            </a:r>
          </a:p>
        </c:rich>
      </c:tx>
      <c:layout/>
      <c:spPr>
        <a:noFill/>
        <a:ln>
          <a:noFill/>
        </a:ln>
      </c:spPr>
    </c:title>
    <c:plotArea>
      <c:layout>
        <c:manualLayout>
          <c:xMode val="edge"/>
          <c:yMode val="edge"/>
          <c:x val="0.05825"/>
          <c:y val="0.15475"/>
          <c:w val="0.768"/>
          <c:h val="0.73"/>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Summary!$AC$42:$AC$49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Summary!$AC$38:$AC$39</c:f>
              <c:numCache>
                <c:ptCount val="2"/>
                <c:pt idx="0">
                  <c:v>0</c:v>
                </c:pt>
                <c:pt idx="1">
                  <c:v>0</c:v>
                </c:pt>
              </c:numCache>
            </c:numRef>
          </c:yVal>
          <c:smooth val="0"/>
        </c:ser>
        <c:axId val="15938892"/>
        <c:axId val="9232301"/>
      </c:scatterChart>
      <c:valAx>
        <c:axId val="15938892"/>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9232301"/>
        <c:crosses val="max"/>
        <c:crossBetween val="midCat"/>
        <c:dispUnits/>
      </c:valAx>
      <c:valAx>
        <c:axId val="9232301"/>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15938892"/>
        <c:crosses val="max"/>
        <c:crossBetween val="midCat"/>
        <c:dispUnits/>
        <c:majorUnit val="1"/>
      </c:valAx>
      <c:spPr>
        <a:noFill/>
        <a:ln>
          <a:noFill/>
        </a:ln>
      </c:spPr>
    </c:plotArea>
    <c:legend>
      <c:legendPos val="r"/>
      <c:layout>
        <c:manualLayout>
          <c:xMode val="edge"/>
          <c:yMode val="edge"/>
          <c:x val="0.777"/>
          <c:y val="0.31375"/>
          <c:w val="0.223"/>
          <c:h val="0.31"/>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Dencker</a:t>
            </a:r>
          </a:p>
        </c:rich>
      </c:tx>
      <c:layout/>
      <c:spPr>
        <a:noFill/>
        <a:ln>
          <a:noFill/>
        </a:ln>
      </c:spPr>
    </c:title>
    <c:plotArea>
      <c:layout>
        <c:manualLayout>
          <c:xMode val="edge"/>
          <c:yMode val="edge"/>
          <c:x val="0.05825"/>
          <c:y val="0.154"/>
          <c:w val="0.768"/>
          <c:h val="0.731"/>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Summary!$AD$42:$AD$49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Summary!$AD$38:$AD$39</c:f>
              <c:numCache>
                <c:ptCount val="2"/>
                <c:pt idx="0">
                  <c:v>0</c:v>
                </c:pt>
                <c:pt idx="1">
                  <c:v>0</c:v>
                </c:pt>
              </c:numCache>
            </c:numRef>
          </c:yVal>
          <c:smooth val="0"/>
        </c:ser>
        <c:axId val="15981846"/>
        <c:axId val="9618887"/>
      </c:scatterChart>
      <c:valAx>
        <c:axId val="15981846"/>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9618887"/>
        <c:crosses val="max"/>
        <c:crossBetween val="midCat"/>
        <c:dispUnits/>
      </c:valAx>
      <c:valAx>
        <c:axId val="9618887"/>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15981846"/>
        <c:crosses val="max"/>
        <c:crossBetween val="midCat"/>
        <c:dispUnits/>
        <c:majorUnit val="1"/>
      </c:valAx>
      <c:spPr>
        <a:noFill/>
        <a:ln>
          <a:noFill/>
        </a:ln>
      </c:spPr>
    </c:plotArea>
    <c:legend>
      <c:legendPos val="r"/>
      <c:layout>
        <c:manualLayout>
          <c:xMode val="edge"/>
          <c:yMode val="edge"/>
          <c:x val="0.7775"/>
          <c:y val="0.3125"/>
          <c:w val="0.2225"/>
          <c:h val="0.308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Poorman upr</a:t>
            </a:r>
          </a:p>
        </c:rich>
      </c:tx>
      <c:layout/>
      <c:spPr>
        <a:noFill/>
        <a:ln>
          <a:noFill/>
        </a:ln>
      </c:spPr>
    </c:title>
    <c:plotArea>
      <c:layout>
        <c:manualLayout>
          <c:xMode val="edge"/>
          <c:yMode val="edge"/>
          <c:x val="0.059"/>
          <c:y val="0.15725"/>
          <c:w val="0.76725"/>
          <c:h val="0.7255"/>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Summary!$F$42:$F$49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Summary!$F$38:$F$39</c:f>
              <c:numCache>
                <c:ptCount val="2"/>
                <c:pt idx="0">
                  <c:v>0</c:v>
                </c:pt>
                <c:pt idx="1">
                  <c:v>0</c:v>
                </c:pt>
              </c:numCache>
            </c:numRef>
          </c:yVal>
          <c:smooth val="0"/>
        </c:ser>
        <c:axId val="5347494"/>
        <c:axId val="48127447"/>
      </c:scatterChart>
      <c:valAx>
        <c:axId val="5347494"/>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48127447"/>
        <c:crosses val="max"/>
        <c:crossBetween val="midCat"/>
        <c:dispUnits/>
      </c:valAx>
      <c:valAx>
        <c:axId val="48127447"/>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5347494"/>
        <c:crosses val="max"/>
        <c:crossBetween val="midCat"/>
        <c:dispUnits/>
        <c:majorUnit val="1"/>
      </c:valAx>
      <c:spPr>
        <a:noFill/>
        <a:ln>
          <a:noFill/>
        </a:ln>
      </c:spPr>
    </c:plotArea>
    <c:legend>
      <c:legendPos val="r"/>
      <c:layout>
        <c:manualLayout>
          <c:xMode val="edge"/>
          <c:yMode val="edge"/>
          <c:x val="0.776"/>
          <c:y val="0.31075"/>
          <c:w val="0.224"/>
          <c:h val="0.314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Poorman lwr</a:t>
            </a:r>
          </a:p>
        </c:rich>
      </c:tx>
      <c:layout/>
      <c:spPr>
        <a:noFill/>
        <a:ln>
          <a:noFill/>
        </a:ln>
      </c:spPr>
    </c:title>
    <c:plotArea>
      <c:layout>
        <c:manualLayout>
          <c:xMode val="edge"/>
          <c:yMode val="edge"/>
          <c:x val="0.05875"/>
          <c:y val="0.15625"/>
          <c:w val="0.7675"/>
          <c:h val="0.72675"/>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Summary!$G$42:$G$49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Summary!$G$38:$G$39</c:f>
              <c:numCache>
                <c:ptCount val="2"/>
                <c:pt idx="0">
                  <c:v>0</c:v>
                </c:pt>
                <c:pt idx="1">
                  <c:v>0</c:v>
                </c:pt>
              </c:numCache>
            </c:numRef>
          </c:yVal>
          <c:smooth val="0"/>
        </c:ser>
        <c:axId val="30493840"/>
        <c:axId val="6009105"/>
      </c:scatterChart>
      <c:valAx>
        <c:axId val="30493840"/>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6009105"/>
        <c:crosses val="max"/>
        <c:crossBetween val="midCat"/>
        <c:dispUnits/>
      </c:valAx>
      <c:valAx>
        <c:axId val="6009105"/>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30493840"/>
        <c:crosses val="max"/>
        <c:crossBetween val="midCat"/>
        <c:dispUnits/>
        <c:majorUnit val="1"/>
      </c:valAx>
      <c:spPr>
        <a:noFill/>
        <a:ln>
          <a:noFill/>
        </a:ln>
      </c:spPr>
    </c:plotArea>
    <c:legend>
      <c:legendPos val="r"/>
      <c:layout>
        <c:manualLayout>
          <c:xMode val="edge"/>
          <c:yMode val="edge"/>
          <c:x val="0.7765"/>
          <c:y val="0.30975"/>
          <c:w val="0.2235"/>
          <c:h val="0.313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Jenkins</a:t>
            </a:r>
          </a:p>
        </c:rich>
      </c:tx>
      <c:layout/>
      <c:spPr>
        <a:noFill/>
        <a:ln>
          <a:noFill/>
        </a:ln>
      </c:spPr>
    </c:title>
    <c:plotArea>
      <c:layout>
        <c:manualLayout>
          <c:xMode val="edge"/>
          <c:yMode val="edge"/>
          <c:x val="0.0585"/>
          <c:y val="0.15575"/>
          <c:w val="0.76775"/>
          <c:h val="0.728"/>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Summary!$H$42:$H$49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Summary!$H$38:$H$39</c:f>
              <c:numCache>
                <c:ptCount val="2"/>
                <c:pt idx="0">
                  <c:v>0</c:v>
                </c:pt>
                <c:pt idx="1">
                  <c:v>0</c:v>
                </c:pt>
              </c:numCache>
            </c:numRef>
          </c:yVal>
          <c:smooth val="0"/>
        </c:ser>
        <c:axId val="54081946"/>
        <c:axId val="16975467"/>
      </c:scatterChart>
      <c:valAx>
        <c:axId val="54081946"/>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16975467"/>
        <c:crosses val="max"/>
        <c:crossBetween val="midCat"/>
        <c:dispUnits/>
      </c:valAx>
      <c:valAx>
        <c:axId val="16975467"/>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54081946"/>
        <c:crosses val="max"/>
        <c:crossBetween val="midCat"/>
        <c:dispUnits/>
        <c:majorUnit val="1"/>
      </c:valAx>
      <c:spPr>
        <a:noFill/>
        <a:ln>
          <a:noFill/>
        </a:ln>
      </c:spPr>
    </c:plotArea>
    <c:legend>
      <c:legendPos val="r"/>
      <c:layout>
        <c:manualLayout>
          <c:xMode val="edge"/>
          <c:yMode val="edge"/>
          <c:x val="0.777"/>
          <c:y val="0.31225"/>
          <c:w val="0.223"/>
          <c:h val="0.312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York</a:t>
            </a:r>
          </a:p>
        </c:rich>
      </c:tx>
      <c:layout/>
      <c:spPr>
        <a:noFill/>
        <a:ln>
          <a:noFill/>
        </a:ln>
      </c:spPr>
    </c:title>
    <c:plotArea>
      <c:layout>
        <c:manualLayout>
          <c:xMode val="edge"/>
          <c:yMode val="edge"/>
          <c:x val="0.0585"/>
          <c:y val="0.15525"/>
          <c:w val="0.76775"/>
          <c:h val="0.729"/>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Summary!$I$42:$I$49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Summary!$I$38:$I$39</c:f>
              <c:numCache>
                <c:ptCount val="2"/>
                <c:pt idx="0">
                  <c:v>0</c:v>
                </c:pt>
                <c:pt idx="1">
                  <c:v>0</c:v>
                </c:pt>
              </c:numCache>
            </c:numRef>
          </c:yVal>
          <c:smooth val="0"/>
        </c:ser>
        <c:axId val="18561476"/>
        <c:axId val="32835557"/>
      </c:scatterChart>
      <c:valAx>
        <c:axId val="18561476"/>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32835557"/>
        <c:crosses val="max"/>
        <c:crossBetween val="midCat"/>
        <c:dispUnits/>
      </c:valAx>
      <c:valAx>
        <c:axId val="32835557"/>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18561476"/>
        <c:crosses val="max"/>
        <c:crossBetween val="midCat"/>
        <c:dispUnits/>
        <c:majorUnit val="1"/>
      </c:valAx>
      <c:spPr>
        <a:noFill/>
        <a:ln>
          <a:noFill/>
        </a:ln>
      </c:spPr>
    </c:plotArea>
    <c:legend>
      <c:legendPos val="r"/>
      <c:layout>
        <c:manualLayout>
          <c:xMode val="edge"/>
          <c:yMode val="edge"/>
          <c:x val="0.7775"/>
          <c:y val="0.311"/>
          <c:w val="0.2225"/>
          <c:h val="0.311"/>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Todds</a:t>
            </a:r>
          </a:p>
        </c:rich>
      </c:tx>
      <c:layout/>
      <c:spPr>
        <a:noFill/>
        <a:ln>
          <a:noFill/>
        </a:ln>
      </c:spPr>
    </c:title>
    <c:plotArea>
      <c:layout>
        <c:manualLayout>
          <c:xMode val="edge"/>
          <c:yMode val="edge"/>
          <c:x val="0.05825"/>
          <c:y val="0.15475"/>
          <c:w val="0.768"/>
          <c:h val="0.73"/>
        </c:manualLayout>
      </c:layout>
      <c:lineChart>
        <c:grouping val="standard"/>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cat>
            <c:numRef>
              <c:f>Summary!$C$42:$C$49</c:f>
              <c:numCache>
                <c:ptCount val="8"/>
                <c:pt idx="0">
                  <c:v>0</c:v>
                </c:pt>
                <c:pt idx="1">
                  <c:v>0</c:v>
                </c:pt>
                <c:pt idx="2">
                  <c:v>0</c:v>
                </c:pt>
                <c:pt idx="3">
                  <c:v>0</c:v>
                </c:pt>
                <c:pt idx="4">
                  <c:v>0</c:v>
                </c:pt>
                <c:pt idx="5">
                  <c:v>0</c:v>
                </c:pt>
                <c:pt idx="6">
                  <c:v>0</c:v>
                </c:pt>
                <c:pt idx="7">
                  <c:v>0</c:v>
                </c:pt>
              </c:numCache>
            </c:numRef>
          </c:cat>
          <c:val>
            <c:numRef>
              <c:f>Summary!$J$42:$J$49</c:f>
              <c:numCache>
                <c:ptCount val="8"/>
                <c:pt idx="0">
                  <c:v>0</c:v>
                </c:pt>
                <c:pt idx="1">
                  <c:v>0</c:v>
                </c:pt>
                <c:pt idx="2">
                  <c:v>0</c:v>
                </c:pt>
                <c:pt idx="3">
                  <c:v>0</c:v>
                </c:pt>
                <c:pt idx="4">
                  <c:v>0</c:v>
                </c:pt>
                <c:pt idx="5">
                  <c:v>0</c:v>
                </c:pt>
                <c:pt idx="6">
                  <c:v>0</c:v>
                </c:pt>
                <c:pt idx="7">
                  <c:v>0</c:v>
                </c:pt>
              </c:numCache>
            </c:numRef>
          </c: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cat>
            <c:numRef>
              <c:f>Summary!$B$38:$B$39</c:f>
              <c:numCache>
                <c:ptCount val="2"/>
                <c:pt idx="0">
                  <c:v>0</c:v>
                </c:pt>
                <c:pt idx="1">
                  <c:v>0</c:v>
                </c:pt>
              </c:numCache>
            </c:numRef>
          </c:cat>
          <c:val>
            <c:numRef>
              <c:f>Summary!$J$38:$J$39</c:f>
              <c:numCache>
                <c:ptCount val="2"/>
                <c:pt idx="0">
                  <c:v>0</c:v>
                </c:pt>
                <c:pt idx="1">
                  <c:v>0</c:v>
                </c:pt>
              </c:numCache>
            </c:numRef>
          </c:val>
          <c:smooth val="0"/>
        </c:ser>
        <c:marker val="1"/>
        <c:axId val="27084558"/>
        <c:axId val="42434431"/>
      </c:lineChart>
      <c:catAx>
        <c:axId val="27084558"/>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42434431"/>
        <c:crosses val="max"/>
        <c:auto val="1"/>
        <c:lblOffset val="100"/>
        <c:noMultiLvlLbl val="0"/>
      </c:catAx>
      <c:valAx>
        <c:axId val="42434431"/>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27084558"/>
        <c:crossesAt val="1"/>
        <c:crossBetween val="between"/>
        <c:dispUnits/>
        <c:majorUnit val="1"/>
      </c:valAx>
      <c:spPr>
        <a:noFill/>
        <a:ln>
          <a:noFill/>
        </a:ln>
      </c:spPr>
    </c:plotArea>
    <c:legend>
      <c:legendPos val="r"/>
      <c:layout>
        <c:manualLayout>
          <c:xMode val="edge"/>
          <c:yMode val="edge"/>
          <c:x val="0.778"/>
          <c:y val="0.31375"/>
          <c:w val="0.222"/>
          <c:h val="0.31"/>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Hillwood</a:t>
            </a:r>
          </a:p>
        </c:rich>
      </c:tx>
      <c:layout/>
      <c:spPr>
        <a:noFill/>
        <a:ln>
          <a:noFill/>
        </a:ln>
      </c:spPr>
    </c:title>
    <c:plotArea>
      <c:layout>
        <c:manualLayout>
          <c:xMode val="edge"/>
          <c:yMode val="edge"/>
          <c:x val="0.058"/>
          <c:y val="0.154"/>
          <c:w val="0.76825"/>
          <c:h val="0.731"/>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Summary!$K$42:$K$49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Summary!$K$38:$K$39</c:f>
              <c:numCache>
                <c:ptCount val="2"/>
                <c:pt idx="0">
                  <c:v>0</c:v>
                </c:pt>
                <c:pt idx="1">
                  <c:v>0</c:v>
                </c:pt>
              </c:numCache>
            </c:numRef>
          </c:yVal>
          <c:smooth val="0"/>
        </c:ser>
        <c:axId val="46365560"/>
        <c:axId val="14636857"/>
      </c:scatterChart>
      <c:valAx>
        <c:axId val="46365560"/>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14636857"/>
        <c:crosses val="max"/>
        <c:crossBetween val="midCat"/>
        <c:dispUnits/>
      </c:valAx>
      <c:valAx>
        <c:axId val="14636857"/>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46365560"/>
        <c:crosses val="max"/>
        <c:crossBetween val="midCat"/>
        <c:dispUnits/>
        <c:majorUnit val="1"/>
      </c:valAx>
      <c:spPr>
        <a:noFill/>
        <a:ln>
          <a:noFill/>
        </a:ln>
      </c:spPr>
    </c:plotArea>
    <c:legend>
      <c:legendPos val="r"/>
      <c:layout>
        <c:manualLayout>
          <c:xMode val="edge"/>
          <c:yMode val="edge"/>
          <c:x val="0.7785"/>
          <c:y val="0.3125"/>
          <c:w val="0.2215"/>
          <c:h val="0.308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Brook upr</a:t>
            </a:r>
          </a:p>
        </c:rich>
      </c:tx>
      <c:layout/>
      <c:spPr>
        <a:noFill/>
        <a:ln>
          <a:noFill/>
        </a:ln>
      </c:spPr>
    </c:title>
    <c:plotArea>
      <c:layout>
        <c:manualLayout>
          <c:xMode val="edge"/>
          <c:yMode val="edge"/>
          <c:x val="0.05925"/>
          <c:y val="0.15775"/>
          <c:w val="0.767"/>
          <c:h val="0.72475"/>
        </c:manualLayout>
      </c:layout>
      <c:scatterChart>
        <c:scatterStyle val="lineMarker"/>
        <c:varyColors val="0"/>
        <c:ser>
          <c:idx val="0"/>
          <c:order val="0"/>
          <c:tx>
            <c:v>Yearly classification</c:v>
          </c:tx>
          <c:extLst>
            <c:ext xmlns:c14="http://schemas.microsoft.com/office/drawing/2007/8/2/chart" uri="{6F2FDCE9-48DA-4B69-8628-5D25D57E5C99}">
              <c14:invertSolidFillFmt>
                <c14:spPr>
                  <a:solidFill>
                    <a:srgbClr val="000000"/>
                  </a:solidFill>
                </c14:spPr>
              </c14:invertSolidFillFmt>
            </c:ext>
          </c:extLst>
          <c:xVal>
            <c:numRef>
              <c:f>Summary!$C$42:$C$49</c:f>
              <c:numCache>
                <c:ptCount val="8"/>
                <c:pt idx="0">
                  <c:v>0</c:v>
                </c:pt>
                <c:pt idx="1">
                  <c:v>0</c:v>
                </c:pt>
                <c:pt idx="2">
                  <c:v>0</c:v>
                </c:pt>
                <c:pt idx="3">
                  <c:v>0</c:v>
                </c:pt>
                <c:pt idx="4">
                  <c:v>0</c:v>
                </c:pt>
                <c:pt idx="5">
                  <c:v>0</c:v>
                </c:pt>
                <c:pt idx="6">
                  <c:v>0</c:v>
                </c:pt>
                <c:pt idx="7">
                  <c:v>0</c:v>
                </c:pt>
              </c:numCache>
            </c:numRef>
          </c:xVal>
          <c:yVal>
            <c:numRef>
              <c:f>Summary!$L$42:$L$49</c:f>
              <c:numCache>
                <c:ptCount val="8"/>
                <c:pt idx="0">
                  <c:v>0</c:v>
                </c:pt>
                <c:pt idx="1">
                  <c:v>0</c:v>
                </c:pt>
                <c:pt idx="2">
                  <c:v>0</c:v>
                </c:pt>
                <c:pt idx="3">
                  <c:v>0</c:v>
                </c:pt>
                <c:pt idx="4">
                  <c:v>0</c:v>
                </c:pt>
                <c:pt idx="5">
                  <c:v>0</c:v>
                </c:pt>
                <c:pt idx="6">
                  <c:v>0</c:v>
                </c:pt>
                <c:pt idx="7">
                  <c:v>0</c:v>
                </c:pt>
              </c:numCache>
            </c:numRef>
          </c:yVal>
          <c:smooth val="0"/>
        </c:ser>
        <c:ser>
          <c:idx val="1"/>
          <c:order val="1"/>
          <c:tx>
            <c:v>2000-2006 classification</c:v>
          </c:tx>
          <c:extLst>
            <c:ext xmlns:c14="http://schemas.microsoft.com/office/drawing/2007/8/2/chart" uri="{6F2FDCE9-48DA-4B69-8628-5D25D57E5C99}">
              <c14:invertSolidFillFmt>
                <c14:spPr>
                  <a:solidFill>
                    <a:srgbClr val="000000"/>
                  </a:solidFill>
                </c14:spPr>
              </c14:invertSolidFillFmt>
            </c:ext>
          </c:extLst>
          <c:xVal>
            <c:numRef>
              <c:f>Summary!$B$38:$B$39</c:f>
              <c:numCache>
                <c:ptCount val="2"/>
                <c:pt idx="0">
                  <c:v>0</c:v>
                </c:pt>
                <c:pt idx="1">
                  <c:v>0</c:v>
                </c:pt>
              </c:numCache>
            </c:numRef>
          </c:xVal>
          <c:yVal>
            <c:numRef>
              <c:f>Summary!$L$38:$L$39</c:f>
              <c:numCache>
                <c:ptCount val="2"/>
                <c:pt idx="0">
                  <c:v>0</c:v>
                </c:pt>
                <c:pt idx="1">
                  <c:v>0</c:v>
                </c:pt>
              </c:numCache>
            </c:numRef>
          </c:yVal>
          <c:smooth val="0"/>
        </c:ser>
        <c:axId val="64622850"/>
        <c:axId val="44734739"/>
      </c:scatterChart>
      <c:valAx>
        <c:axId val="64622850"/>
        <c:scaling>
          <c:orientation val="minMax"/>
        </c:scaling>
        <c:axPos val="t"/>
        <c:title>
          <c:tx>
            <c:rich>
              <a:bodyPr vert="horz" rot="0" anchor="ctr"/>
              <a:lstStyle/>
              <a:p>
                <a:pPr algn="ctr">
                  <a:defRPr/>
                </a:pPr>
                <a:r>
                  <a:rPr lang="en-US"/>
                  <a:t>Year</a:t>
                </a:r>
              </a:p>
            </c:rich>
          </c:tx>
          <c:layout/>
          <c:overlay val="0"/>
          <c:spPr>
            <a:noFill/>
            <a:ln>
              <a:noFill/>
            </a:ln>
          </c:spPr>
        </c:title>
        <c:delete val="0"/>
        <c:numFmt formatCode="General" sourceLinked="1"/>
        <c:majorTickMark val="out"/>
        <c:minorTickMark val="none"/>
        <c:tickLblPos val="nextTo"/>
        <c:crossAx val="44734739"/>
        <c:crosses val="max"/>
        <c:crossBetween val="midCat"/>
        <c:dispUnits/>
      </c:valAx>
      <c:valAx>
        <c:axId val="44734739"/>
        <c:scaling>
          <c:orientation val="maxMin"/>
          <c:max val="5"/>
          <c:min val="1"/>
        </c:scaling>
        <c:axPos val="l"/>
        <c:title>
          <c:tx>
            <c:rich>
              <a:bodyPr vert="horz" rot="-5400000" anchor="ctr"/>
              <a:lstStyle/>
              <a:p>
                <a:pPr algn="ctr">
                  <a:defRPr/>
                </a:pPr>
                <a:r>
                  <a:rPr lang="en-US"/>
                  <a:t>Grade</a:t>
                </a:r>
              </a:p>
            </c:rich>
          </c:tx>
          <c:layout/>
          <c:overlay val="0"/>
          <c:spPr>
            <a:noFill/>
            <a:ln>
              <a:noFill/>
            </a:ln>
          </c:spPr>
        </c:title>
        <c:delete val="0"/>
        <c:numFmt formatCode="General" sourceLinked="0"/>
        <c:majorTickMark val="out"/>
        <c:minorTickMark val="none"/>
        <c:tickLblPos val="nextTo"/>
        <c:crossAx val="64622850"/>
        <c:crosses val="max"/>
        <c:crossBetween val="midCat"/>
        <c:dispUnits/>
        <c:majorUnit val="1"/>
      </c:valAx>
      <c:spPr>
        <a:noFill/>
        <a:ln>
          <a:noFill/>
        </a:ln>
      </c:spPr>
    </c:plotArea>
    <c:legend>
      <c:legendPos val="r"/>
      <c:layout>
        <c:manualLayout>
          <c:xMode val="edge"/>
          <c:yMode val="edge"/>
          <c:x val="0.7745"/>
          <c:y val="0.312"/>
          <c:w val="0.2255"/>
          <c:h val="0.315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53</xdr:row>
      <xdr:rowOff>0</xdr:rowOff>
    </xdr:from>
    <xdr:to>
      <xdr:col>10</xdr:col>
      <xdr:colOff>9525</xdr:colOff>
      <xdr:row>69</xdr:row>
      <xdr:rowOff>19050</xdr:rowOff>
    </xdr:to>
    <xdr:graphicFrame>
      <xdr:nvGraphicFramePr>
        <xdr:cNvPr id="1" name="Chart 4"/>
        <xdr:cNvGraphicFramePr/>
      </xdr:nvGraphicFramePr>
      <xdr:xfrm>
        <a:off x="1952625" y="8582025"/>
        <a:ext cx="4276725" cy="260985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70</xdr:row>
      <xdr:rowOff>0</xdr:rowOff>
    </xdr:from>
    <xdr:to>
      <xdr:col>10</xdr:col>
      <xdr:colOff>19050</xdr:colOff>
      <xdr:row>86</xdr:row>
      <xdr:rowOff>28575</xdr:rowOff>
    </xdr:to>
    <xdr:graphicFrame>
      <xdr:nvGraphicFramePr>
        <xdr:cNvPr id="2" name="Chart 5"/>
        <xdr:cNvGraphicFramePr/>
      </xdr:nvGraphicFramePr>
      <xdr:xfrm>
        <a:off x="1952625" y="11334750"/>
        <a:ext cx="4286250" cy="2619375"/>
      </xdr:xfrm>
      <a:graphic>
        <a:graphicData uri="http://schemas.openxmlformats.org/drawingml/2006/chart">
          <c:chart xmlns:c="http://schemas.openxmlformats.org/drawingml/2006/chart" r:id="rId2"/>
        </a:graphicData>
      </a:graphic>
    </xdr:graphicFrame>
    <xdr:clientData/>
  </xdr:twoCellAnchor>
  <xdr:twoCellAnchor>
    <xdr:from>
      <xdr:col>3</xdr:col>
      <xdr:colOff>0</xdr:colOff>
      <xdr:row>87</xdr:row>
      <xdr:rowOff>0</xdr:rowOff>
    </xdr:from>
    <xdr:to>
      <xdr:col>10</xdr:col>
      <xdr:colOff>28575</xdr:colOff>
      <xdr:row>103</xdr:row>
      <xdr:rowOff>38100</xdr:rowOff>
    </xdr:to>
    <xdr:graphicFrame>
      <xdr:nvGraphicFramePr>
        <xdr:cNvPr id="3" name="Chart 7"/>
        <xdr:cNvGraphicFramePr/>
      </xdr:nvGraphicFramePr>
      <xdr:xfrm>
        <a:off x="1952625" y="14087475"/>
        <a:ext cx="4295775" cy="262890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104</xdr:row>
      <xdr:rowOff>0</xdr:rowOff>
    </xdr:from>
    <xdr:to>
      <xdr:col>10</xdr:col>
      <xdr:colOff>38100</xdr:colOff>
      <xdr:row>120</xdr:row>
      <xdr:rowOff>47625</xdr:rowOff>
    </xdr:to>
    <xdr:graphicFrame>
      <xdr:nvGraphicFramePr>
        <xdr:cNvPr id="4" name="Chart 8"/>
        <xdr:cNvGraphicFramePr/>
      </xdr:nvGraphicFramePr>
      <xdr:xfrm>
        <a:off x="1952625" y="16840200"/>
        <a:ext cx="4305300" cy="2638425"/>
      </xdr:xfrm>
      <a:graphic>
        <a:graphicData uri="http://schemas.openxmlformats.org/drawingml/2006/chart">
          <c:chart xmlns:c="http://schemas.openxmlformats.org/drawingml/2006/chart" r:id="rId4"/>
        </a:graphicData>
      </a:graphic>
    </xdr:graphicFrame>
    <xdr:clientData/>
  </xdr:twoCellAnchor>
  <xdr:twoCellAnchor>
    <xdr:from>
      <xdr:col>3</xdr:col>
      <xdr:colOff>0</xdr:colOff>
      <xdr:row>121</xdr:row>
      <xdr:rowOff>0</xdr:rowOff>
    </xdr:from>
    <xdr:to>
      <xdr:col>10</xdr:col>
      <xdr:colOff>47625</xdr:colOff>
      <xdr:row>137</xdr:row>
      <xdr:rowOff>57150</xdr:rowOff>
    </xdr:to>
    <xdr:graphicFrame>
      <xdr:nvGraphicFramePr>
        <xdr:cNvPr id="5" name="Chart 9"/>
        <xdr:cNvGraphicFramePr/>
      </xdr:nvGraphicFramePr>
      <xdr:xfrm>
        <a:off x="1952625" y="19592925"/>
        <a:ext cx="4314825" cy="2647950"/>
      </xdr:xfrm>
      <a:graphic>
        <a:graphicData uri="http://schemas.openxmlformats.org/drawingml/2006/chart">
          <c:chart xmlns:c="http://schemas.openxmlformats.org/drawingml/2006/chart" r:id="rId5"/>
        </a:graphicData>
      </a:graphic>
    </xdr:graphicFrame>
    <xdr:clientData/>
  </xdr:twoCellAnchor>
  <xdr:twoCellAnchor>
    <xdr:from>
      <xdr:col>3</xdr:col>
      <xdr:colOff>0</xdr:colOff>
      <xdr:row>138</xdr:row>
      <xdr:rowOff>0</xdr:rowOff>
    </xdr:from>
    <xdr:to>
      <xdr:col>10</xdr:col>
      <xdr:colOff>57150</xdr:colOff>
      <xdr:row>154</xdr:row>
      <xdr:rowOff>66675</xdr:rowOff>
    </xdr:to>
    <xdr:graphicFrame>
      <xdr:nvGraphicFramePr>
        <xdr:cNvPr id="6" name="Chart 10"/>
        <xdr:cNvGraphicFramePr/>
      </xdr:nvGraphicFramePr>
      <xdr:xfrm>
        <a:off x="1952625" y="22345650"/>
        <a:ext cx="4324350" cy="2657475"/>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155</xdr:row>
      <xdr:rowOff>0</xdr:rowOff>
    </xdr:from>
    <xdr:to>
      <xdr:col>10</xdr:col>
      <xdr:colOff>66675</xdr:colOff>
      <xdr:row>171</xdr:row>
      <xdr:rowOff>76200</xdr:rowOff>
    </xdr:to>
    <xdr:graphicFrame>
      <xdr:nvGraphicFramePr>
        <xdr:cNvPr id="7" name="Chart 11"/>
        <xdr:cNvGraphicFramePr/>
      </xdr:nvGraphicFramePr>
      <xdr:xfrm>
        <a:off x="1952625" y="25098375"/>
        <a:ext cx="4333875" cy="2667000"/>
      </xdr:xfrm>
      <a:graphic>
        <a:graphicData uri="http://schemas.openxmlformats.org/drawingml/2006/chart">
          <c:chart xmlns:c="http://schemas.openxmlformats.org/drawingml/2006/chart" r:id="rId7"/>
        </a:graphicData>
      </a:graphic>
    </xdr:graphicFrame>
    <xdr:clientData/>
  </xdr:twoCellAnchor>
  <xdr:twoCellAnchor>
    <xdr:from>
      <xdr:col>3</xdr:col>
      <xdr:colOff>0</xdr:colOff>
      <xdr:row>172</xdr:row>
      <xdr:rowOff>0</xdr:rowOff>
    </xdr:from>
    <xdr:to>
      <xdr:col>10</xdr:col>
      <xdr:colOff>76200</xdr:colOff>
      <xdr:row>188</xdr:row>
      <xdr:rowOff>85725</xdr:rowOff>
    </xdr:to>
    <xdr:graphicFrame>
      <xdr:nvGraphicFramePr>
        <xdr:cNvPr id="8" name="Chart 12"/>
        <xdr:cNvGraphicFramePr/>
      </xdr:nvGraphicFramePr>
      <xdr:xfrm>
        <a:off x="1952625" y="27851100"/>
        <a:ext cx="4343400" cy="2676525"/>
      </xdr:xfrm>
      <a:graphic>
        <a:graphicData uri="http://schemas.openxmlformats.org/drawingml/2006/chart">
          <c:chart xmlns:c="http://schemas.openxmlformats.org/drawingml/2006/chart" r:id="rId8"/>
        </a:graphicData>
      </a:graphic>
    </xdr:graphicFrame>
    <xdr:clientData/>
  </xdr:twoCellAnchor>
  <xdr:twoCellAnchor>
    <xdr:from>
      <xdr:col>11</xdr:col>
      <xdr:colOff>0</xdr:colOff>
      <xdr:row>53</xdr:row>
      <xdr:rowOff>0</xdr:rowOff>
    </xdr:from>
    <xdr:to>
      <xdr:col>18</xdr:col>
      <xdr:colOff>0</xdr:colOff>
      <xdr:row>69</xdr:row>
      <xdr:rowOff>28575</xdr:rowOff>
    </xdr:to>
    <xdr:graphicFrame>
      <xdr:nvGraphicFramePr>
        <xdr:cNvPr id="9" name="Chart 13"/>
        <xdr:cNvGraphicFramePr/>
      </xdr:nvGraphicFramePr>
      <xdr:xfrm>
        <a:off x="6829425" y="8582025"/>
        <a:ext cx="4267200" cy="2619375"/>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70</xdr:row>
      <xdr:rowOff>0</xdr:rowOff>
    </xdr:from>
    <xdr:to>
      <xdr:col>18</xdr:col>
      <xdr:colOff>19050</xdr:colOff>
      <xdr:row>86</xdr:row>
      <xdr:rowOff>38100</xdr:rowOff>
    </xdr:to>
    <xdr:graphicFrame>
      <xdr:nvGraphicFramePr>
        <xdr:cNvPr id="10" name="Chart 14"/>
        <xdr:cNvGraphicFramePr/>
      </xdr:nvGraphicFramePr>
      <xdr:xfrm>
        <a:off x="6829425" y="11334750"/>
        <a:ext cx="4286250" cy="2628900"/>
      </xdr:xfrm>
      <a:graphic>
        <a:graphicData uri="http://schemas.openxmlformats.org/drawingml/2006/chart">
          <c:chart xmlns:c="http://schemas.openxmlformats.org/drawingml/2006/chart" r:id="rId10"/>
        </a:graphicData>
      </a:graphic>
    </xdr:graphicFrame>
    <xdr:clientData/>
  </xdr:twoCellAnchor>
  <xdr:twoCellAnchor>
    <xdr:from>
      <xdr:col>11</xdr:col>
      <xdr:colOff>0</xdr:colOff>
      <xdr:row>87</xdr:row>
      <xdr:rowOff>0</xdr:rowOff>
    </xdr:from>
    <xdr:to>
      <xdr:col>18</xdr:col>
      <xdr:colOff>28575</xdr:colOff>
      <xdr:row>103</xdr:row>
      <xdr:rowOff>47625</xdr:rowOff>
    </xdr:to>
    <xdr:graphicFrame>
      <xdr:nvGraphicFramePr>
        <xdr:cNvPr id="11" name="Chart 15"/>
        <xdr:cNvGraphicFramePr/>
      </xdr:nvGraphicFramePr>
      <xdr:xfrm>
        <a:off x="6829425" y="14087475"/>
        <a:ext cx="4295775" cy="2638425"/>
      </xdr:xfrm>
      <a:graphic>
        <a:graphicData uri="http://schemas.openxmlformats.org/drawingml/2006/chart">
          <c:chart xmlns:c="http://schemas.openxmlformats.org/drawingml/2006/chart" r:id="rId11"/>
        </a:graphicData>
      </a:graphic>
    </xdr:graphicFrame>
    <xdr:clientData/>
  </xdr:twoCellAnchor>
  <xdr:twoCellAnchor>
    <xdr:from>
      <xdr:col>11</xdr:col>
      <xdr:colOff>0</xdr:colOff>
      <xdr:row>104</xdr:row>
      <xdr:rowOff>0</xdr:rowOff>
    </xdr:from>
    <xdr:to>
      <xdr:col>18</xdr:col>
      <xdr:colOff>38100</xdr:colOff>
      <xdr:row>120</xdr:row>
      <xdr:rowOff>57150</xdr:rowOff>
    </xdr:to>
    <xdr:graphicFrame>
      <xdr:nvGraphicFramePr>
        <xdr:cNvPr id="12" name="Chart 16"/>
        <xdr:cNvGraphicFramePr/>
      </xdr:nvGraphicFramePr>
      <xdr:xfrm>
        <a:off x="6829425" y="16840200"/>
        <a:ext cx="4305300" cy="2647950"/>
      </xdr:xfrm>
      <a:graphic>
        <a:graphicData uri="http://schemas.openxmlformats.org/drawingml/2006/chart">
          <c:chart xmlns:c="http://schemas.openxmlformats.org/drawingml/2006/chart" r:id="rId12"/>
        </a:graphicData>
      </a:graphic>
    </xdr:graphicFrame>
    <xdr:clientData/>
  </xdr:twoCellAnchor>
  <xdr:twoCellAnchor>
    <xdr:from>
      <xdr:col>11</xdr:col>
      <xdr:colOff>0</xdr:colOff>
      <xdr:row>121</xdr:row>
      <xdr:rowOff>0</xdr:rowOff>
    </xdr:from>
    <xdr:to>
      <xdr:col>18</xdr:col>
      <xdr:colOff>47625</xdr:colOff>
      <xdr:row>137</xdr:row>
      <xdr:rowOff>66675</xdr:rowOff>
    </xdr:to>
    <xdr:graphicFrame>
      <xdr:nvGraphicFramePr>
        <xdr:cNvPr id="13" name="Chart 17"/>
        <xdr:cNvGraphicFramePr/>
      </xdr:nvGraphicFramePr>
      <xdr:xfrm>
        <a:off x="6829425" y="19592925"/>
        <a:ext cx="4314825" cy="2657475"/>
      </xdr:xfrm>
      <a:graphic>
        <a:graphicData uri="http://schemas.openxmlformats.org/drawingml/2006/chart">
          <c:chart xmlns:c="http://schemas.openxmlformats.org/drawingml/2006/chart" r:id="rId13"/>
        </a:graphicData>
      </a:graphic>
    </xdr:graphicFrame>
    <xdr:clientData/>
  </xdr:twoCellAnchor>
  <xdr:twoCellAnchor>
    <xdr:from>
      <xdr:col>11</xdr:col>
      <xdr:colOff>0</xdr:colOff>
      <xdr:row>138</xdr:row>
      <xdr:rowOff>0</xdr:rowOff>
    </xdr:from>
    <xdr:to>
      <xdr:col>18</xdr:col>
      <xdr:colOff>57150</xdr:colOff>
      <xdr:row>154</xdr:row>
      <xdr:rowOff>76200</xdr:rowOff>
    </xdr:to>
    <xdr:graphicFrame>
      <xdr:nvGraphicFramePr>
        <xdr:cNvPr id="14" name="Chart 18"/>
        <xdr:cNvGraphicFramePr/>
      </xdr:nvGraphicFramePr>
      <xdr:xfrm>
        <a:off x="6829425" y="22345650"/>
        <a:ext cx="4324350" cy="2667000"/>
      </xdr:xfrm>
      <a:graphic>
        <a:graphicData uri="http://schemas.openxmlformats.org/drawingml/2006/chart">
          <c:chart xmlns:c="http://schemas.openxmlformats.org/drawingml/2006/chart" r:id="rId14"/>
        </a:graphicData>
      </a:graphic>
    </xdr:graphicFrame>
    <xdr:clientData/>
  </xdr:twoCellAnchor>
  <xdr:twoCellAnchor>
    <xdr:from>
      <xdr:col>11</xdr:col>
      <xdr:colOff>0</xdr:colOff>
      <xdr:row>155</xdr:row>
      <xdr:rowOff>0</xdr:rowOff>
    </xdr:from>
    <xdr:to>
      <xdr:col>18</xdr:col>
      <xdr:colOff>66675</xdr:colOff>
      <xdr:row>171</xdr:row>
      <xdr:rowOff>85725</xdr:rowOff>
    </xdr:to>
    <xdr:graphicFrame>
      <xdr:nvGraphicFramePr>
        <xdr:cNvPr id="15" name="Chart 19"/>
        <xdr:cNvGraphicFramePr/>
      </xdr:nvGraphicFramePr>
      <xdr:xfrm>
        <a:off x="6829425" y="25098375"/>
        <a:ext cx="4333875" cy="2676525"/>
      </xdr:xfrm>
      <a:graphic>
        <a:graphicData uri="http://schemas.openxmlformats.org/drawingml/2006/chart">
          <c:chart xmlns:c="http://schemas.openxmlformats.org/drawingml/2006/chart" r:id="rId15"/>
        </a:graphicData>
      </a:graphic>
    </xdr:graphicFrame>
    <xdr:clientData/>
  </xdr:twoCellAnchor>
  <xdr:twoCellAnchor>
    <xdr:from>
      <xdr:col>19</xdr:col>
      <xdr:colOff>0</xdr:colOff>
      <xdr:row>53</xdr:row>
      <xdr:rowOff>0</xdr:rowOff>
    </xdr:from>
    <xdr:to>
      <xdr:col>26</xdr:col>
      <xdr:colOff>9525</xdr:colOff>
      <xdr:row>69</xdr:row>
      <xdr:rowOff>38100</xdr:rowOff>
    </xdr:to>
    <xdr:graphicFrame>
      <xdr:nvGraphicFramePr>
        <xdr:cNvPr id="16" name="Chart 20"/>
        <xdr:cNvGraphicFramePr/>
      </xdr:nvGraphicFramePr>
      <xdr:xfrm>
        <a:off x="11706225" y="8582025"/>
        <a:ext cx="4276725" cy="2628900"/>
      </xdr:xfrm>
      <a:graphic>
        <a:graphicData uri="http://schemas.openxmlformats.org/drawingml/2006/chart">
          <c:chart xmlns:c="http://schemas.openxmlformats.org/drawingml/2006/chart" r:id="rId16"/>
        </a:graphicData>
      </a:graphic>
    </xdr:graphicFrame>
    <xdr:clientData/>
  </xdr:twoCellAnchor>
  <xdr:twoCellAnchor>
    <xdr:from>
      <xdr:col>19</xdr:col>
      <xdr:colOff>0</xdr:colOff>
      <xdr:row>70</xdr:row>
      <xdr:rowOff>0</xdr:rowOff>
    </xdr:from>
    <xdr:to>
      <xdr:col>26</xdr:col>
      <xdr:colOff>19050</xdr:colOff>
      <xdr:row>86</xdr:row>
      <xdr:rowOff>47625</xdr:rowOff>
    </xdr:to>
    <xdr:graphicFrame>
      <xdr:nvGraphicFramePr>
        <xdr:cNvPr id="17" name="Chart 21"/>
        <xdr:cNvGraphicFramePr/>
      </xdr:nvGraphicFramePr>
      <xdr:xfrm>
        <a:off x="11706225" y="11334750"/>
        <a:ext cx="4286250" cy="2638425"/>
      </xdr:xfrm>
      <a:graphic>
        <a:graphicData uri="http://schemas.openxmlformats.org/drawingml/2006/chart">
          <c:chart xmlns:c="http://schemas.openxmlformats.org/drawingml/2006/chart" r:id="rId17"/>
        </a:graphicData>
      </a:graphic>
    </xdr:graphicFrame>
    <xdr:clientData/>
  </xdr:twoCellAnchor>
  <xdr:twoCellAnchor>
    <xdr:from>
      <xdr:col>19</xdr:col>
      <xdr:colOff>0</xdr:colOff>
      <xdr:row>87</xdr:row>
      <xdr:rowOff>0</xdr:rowOff>
    </xdr:from>
    <xdr:to>
      <xdr:col>26</xdr:col>
      <xdr:colOff>28575</xdr:colOff>
      <xdr:row>103</xdr:row>
      <xdr:rowOff>57150</xdr:rowOff>
    </xdr:to>
    <xdr:graphicFrame>
      <xdr:nvGraphicFramePr>
        <xdr:cNvPr id="18" name="Chart 22"/>
        <xdr:cNvGraphicFramePr/>
      </xdr:nvGraphicFramePr>
      <xdr:xfrm>
        <a:off x="11706225" y="14087475"/>
        <a:ext cx="4295775" cy="2647950"/>
      </xdr:xfrm>
      <a:graphic>
        <a:graphicData uri="http://schemas.openxmlformats.org/drawingml/2006/chart">
          <c:chart xmlns:c="http://schemas.openxmlformats.org/drawingml/2006/chart" r:id="rId18"/>
        </a:graphicData>
      </a:graphic>
    </xdr:graphicFrame>
    <xdr:clientData/>
  </xdr:twoCellAnchor>
  <xdr:twoCellAnchor>
    <xdr:from>
      <xdr:col>19</xdr:col>
      <xdr:colOff>0</xdr:colOff>
      <xdr:row>104</xdr:row>
      <xdr:rowOff>0</xdr:rowOff>
    </xdr:from>
    <xdr:to>
      <xdr:col>26</xdr:col>
      <xdr:colOff>38100</xdr:colOff>
      <xdr:row>120</xdr:row>
      <xdr:rowOff>66675</xdr:rowOff>
    </xdr:to>
    <xdr:graphicFrame>
      <xdr:nvGraphicFramePr>
        <xdr:cNvPr id="19" name="Chart 23"/>
        <xdr:cNvGraphicFramePr/>
      </xdr:nvGraphicFramePr>
      <xdr:xfrm>
        <a:off x="11706225" y="16840200"/>
        <a:ext cx="4305300" cy="2657475"/>
      </xdr:xfrm>
      <a:graphic>
        <a:graphicData uri="http://schemas.openxmlformats.org/drawingml/2006/chart">
          <c:chart xmlns:c="http://schemas.openxmlformats.org/drawingml/2006/chart" r:id="rId19"/>
        </a:graphicData>
      </a:graphic>
    </xdr:graphicFrame>
    <xdr:clientData/>
  </xdr:twoCellAnchor>
  <xdr:twoCellAnchor>
    <xdr:from>
      <xdr:col>19</xdr:col>
      <xdr:colOff>0</xdr:colOff>
      <xdr:row>121</xdr:row>
      <xdr:rowOff>0</xdr:rowOff>
    </xdr:from>
    <xdr:to>
      <xdr:col>26</xdr:col>
      <xdr:colOff>47625</xdr:colOff>
      <xdr:row>137</xdr:row>
      <xdr:rowOff>76200</xdr:rowOff>
    </xdr:to>
    <xdr:graphicFrame>
      <xdr:nvGraphicFramePr>
        <xdr:cNvPr id="20" name="Chart 24"/>
        <xdr:cNvGraphicFramePr/>
      </xdr:nvGraphicFramePr>
      <xdr:xfrm>
        <a:off x="11706225" y="19592925"/>
        <a:ext cx="4314825" cy="2667000"/>
      </xdr:xfrm>
      <a:graphic>
        <a:graphicData uri="http://schemas.openxmlformats.org/drawingml/2006/chart">
          <c:chart xmlns:c="http://schemas.openxmlformats.org/drawingml/2006/chart" r:id="rId20"/>
        </a:graphicData>
      </a:graphic>
    </xdr:graphicFrame>
    <xdr:clientData/>
  </xdr:twoCellAnchor>
  <xdr:twoCellAnchor>
    <xdr:from>
      <xdr:col>19</xdr:col>
      <xdr:colOff>0</xdr:colOff>
      <xdr:row>138</xdr:row>
      <xdr:rowOff>0</xdr:rowOff>
    </xdr:from>
    <xdr:to>
      <xdr:col>26</xdr:col>
      <xdr:colOff>57150</xdr:colOff>
      <xdr:row>154</xdr:row>
      <xdr:rowOff>85725</xdr:rowOff>
    </xdr:to>
    <xdr:graphicFrame>
      <xdr:nvGraphicFramePr>
        <xdr:cNvPr id="21" name="Chart 25"/>
        <xdr:cNvGraphicFramePr/>
      </xdr:nvGraphicFramePr>
      <xdr:xfrm>
        <a:off x="11706225" y="22345650"/>
        <a:ext cx="4324350" cy="2676525"/>
      </xdr:xfrm>
      <a:graphic>
        <a:graphicData uri="http://schemas.openxmlformats.org/drawingml/2006/chart">
          <c:chart xmlns:c="http://schemas.openxmlformats.org/drawingml/2006/chart" r:id="rId21"/>
        </a:graphicData>
      </a:graphic>
    </xdr:graphicFrame>
    <xdr:clientData/>
  </xdr:twoCellAnchor>
  <xdr:twoCellAnchor>
    <xdr:from>
      <xdr:col>19</xdr:col>
      <xdr:colOff>0</xdr:colOff>
      <xdr:row>155</xdr:row>
      <xdr:rowOff>0</xdr:rowOff>
    </xdr:from>
    <xdr:to>
      <xdr:col>26</xdr:col>
      <xdr:colOff>66675</xdr:colOff>
      <xdr:row>171</xdr:row>
      <xdr:rowOff>95250</xdr:rowOff>
    </xdr:to>
    <xdr:graphicFrame>
      <xdr:nvGraphicFramePr>
        <xdr:cNvPr id="22" name="Chart 26"/>
        <xdr:cNvGraphicFramePr/>
      </xdr:nvGraphicFramePr>
      <xdr:xfrm>
        <a:off x="11706225" y="25098375"/>
        <a:ext cx="4333875" cy="2686050"/>
      </xdr:xfrm>
      <a:graphic>
        <a:graphicData uri="http://schemas.openxmlformats.org/drawingml/2006/chart">
          <c:chart xmlns:c="http://schemas.openxmlformats.org/drawingml/2006/chart" r:id="rId22"/>
        </a:graphicData>
      </a:graphic>
    </xdr:graphicFrame>
    <xdr:clientData/>
  </xdr:twoCellAnchor>
  <xdr:twoCellAnchor>
    <xdr:from>
      <xdr:col>27</xdr:col>
      <xdr:colOff>0</xdr:colOff>
      <xdr:row>53</xdr:row>
      <xdr:rowOff>0</xdr:rowOff>
    </xdr:from>
    <xdr:to>
      <xdr:col>34</xdr:col>
      <xdr:colOff>19050</xdr:colOff>
      <xdr:row>69</xdr:row>
      <xdr:rowOff>47625</xdr:rowOff>
    </xdr:to>
    <xdr:graphicFrame>
      <xdr:nvGraphicFramePr>
        <xdr:cNvPr id="23" name="Chart 27"/>
        <xdr:cNvGraphicFramePr/>
      </xdr:nvGraphicFramePr>
      <xdr:xfrm>
        <a:off x="16583025" y="8582025"/>
        <a:ext cx="4286250" cy="2638425"/>
      </xdr:xfrm>
      <a:graphic>
        <a:graphicData uri="http://schemas.openxmlformats.org/drawingml/2006/chart">
          <c:chart xmlns:c="http://schemas.openxmlformats.org/drawingml/2006/chart" r:id="rId23"/>
        </a:graphicData>
      </a:graphic>
    </xdr:graphicFrame>
    <xdr:clientData/>
  </xdr:twoCellAnchor>
  <xdr:twoCellAnchor>
    <xdr:from>
      <xdr:col>27</xdr:col>
      <xdr:colOff>0</xdr:colOff>
      <xdr:row>70</xdr:row>
      <xdr:rowOff>0</xdr:rowOff>
    </xdr:from>
    <xdr:to>
      <xdr:col>34</xdr:col>
      <xdr:colOff>28575</xdr:colOff>
      <xdr:row>86</xdr:row>
      <xdr:rowOff>57150</xdr:rowOff>
    </xdr:to>
    <xdr:graphicFrame>
      <xdr:nvGraphicFramePr>
        <xdr:cNvPr id="24" name="Chart 28"/>
        <xdr:cNvGraphicFramePr/>
      </xdr:nvGraphicFramePr>
      <xdr:xfrm>
        <a:off x="16583025" y="11334750"/>
        <a:ext cx="4295775" cy="2647950"/>
      </xdr:xfrm>
      <a:graphic>
        <a:graphicData uri="http://schemas.openxmlformats.org/drawingml/2006/chart">
          <c:chart xmlns:c="http://schemas.openxmlformats.org/drawingml/2006/chart" r:id="rId24"/>
        </a:graphicData>
      </a:graphic>
    </xdr:graphicFrame>
    <xdr:clientData/>
  </xdr:twoCellAnchor>
  <xdr:twoCellAnchor>
    <xdr:from>
      <xdr:col>27</xdr:col>
      <xdr:colOff>0</xdr:colOff>
      <xdr:row>87</xdr:row>
      <xdr:rowOff>0</xdr:rowOff>
    </xdr:from>
    <xdr:to>
      <xdr:col>34</xdr:col>
      <xdr:colOff>38100</xdr:colOff>
      <xdr:row>103</xdr:row>
      <xdr:rowOff>66675</xdr:rowOff>
    </xdr:to>
    <xdr:graphicFrame>
      <xdr:nvGraphicFramePr>
        <xdr:cNvPr id="25" name="Chart 29"/>
        <xdr:cNvGraphicFramePr/>
      </xdr:nvGraphicFramePr>
      <xdr:xfrm>
        <a:off x="16583025" y="14087475"/>
        <a:ext cx="4305300" cy="2657475"/>
      </xdr:xfrm>
      <a:graphic>
        <a:graphicData uri="http://schemas.openxmlformats.org/drawingml/2006/chart">
          <c:chart xmlns:c="http://schemas.openxmlformats.org/drawingml/2006/chart" r:id="rId25"/>
        </a:graphicData>
      </a:graphic>
    </xdr:graphicFrame>
    <xdr:clientData/>
  </xdr:twoCellAnchor>
  <xdr:twoCellAnchor>
    <xdr:from>
      <xdr:col>27</xdr:col>
      <xdr:colOff>0</xdr:colOff>
      <xdr:row>104</xdr:row>
      <xdr:rowOff>0</xdr:rowOff>
    </xdr:from>
    <xdr:to>
      <xdr:col>34</xdr:col>
      <xdr:colOff>47625</xdr:colOff>
      <xdr:row>120</xdr:row>
      <xdr:rowOff>76200</xdr:rowOff>
    </xdr:to>
    <xdr:graphicFrame>
      <xdr:nvGraphicFramePr>
        <xdr:cNvPr id="26" name="Chart 30"/>
        <xdr:cNvGraphicFramePr/>
      </xdr:nvGraphicFramePr>
      <xdr:xfrm>
        <a:off x="16583025" y="16840200"/>
        <a:ext cx="4314825" cy="2667000"/>
      </xdr:xfrm>
      <a:graphic>
        <a:graphicData uri="http://schemas.openxmlformats.org/drawingml/2006/chart">
          <c:chart xmlns:c="http://schemas.openxmlformats.org/drawingml/2006/chart" r:id="rId26"/>
        </a:graphicData>
      </a:graphic>
    </xdr:graphicFrame>
    <xdr:clientData/>
  </xdr:twoCellAnchor>
  <xdr:twoCellAnchor>
    <xdr:from>
      <xdr:col>27</xdr:col>
      <xdr:colOff>0</xdr:colOff>
      <xdr:row>121</xdr:row>
      <xdr:rowOff>0</xdr:rowOff>
    </xdr:from>
    <xdr:to>
      <xdr:col>34</xdr:col>
      <xdr:colOff>57150</xdr:colOff>
      <xdr:row>137</xdr:row>
      <xdr:rowOff>85725</xdr:rowOff>
    </xdr:to>
    <xdr:graphicFrame>
      <xdr:nvGraphicFramePr>
        <xdr:cNvPr id="27" name="Chart 31"/>
        <xdr:cNvGraphicFramePr/>
      </xdr:nvGraphicFramePr>
      <xdr:xfrm>
        <a:off x="16583025" y="19592925"/>
        <a:ext cx="4324350" cy="2676525"/>
      </xdr:xfrm>
      <a:graphic>
        <a:graphicData uri="http://schemas.openxmlformats.org/drawingml/2006/chart">
          <c:chart xmlns:c="http://schemas.openxmlformats.org/drawingml/2006/chart" r:id="rId2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vml" /><Relationship Id="rId3"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Q42"/>
  <sheetViews>
    <sheetView workbookViewId="0" topLeftCell="A1">
      <selection activeCell="J26" sqref="J26"/>
    </sheetView>
  </sheetViews>
  <sheetFormatPr defaultColWidth="9.140625" defaultRowHeight="12.75"/>
  <cols>
    <col min="3" max="3" width="28.7109375" style="0" bestFit="1" customWidth="1"/>
    <col min="14" max="14" width="34.140625" style="0" customWidth="1"/>
    <col min="16" max="16" width="33.57421875" style="0" customWidth="1"/>
    <col min="17" max="17" width="14.421875" style="0" bestFit="1" customWidth="1"/>
  </cols>
  <sheetData>
    <row r="1" spans="2:15" ht="15.75">
      <c r="B1" s="107" t="s">
        <v>165</v>
      </c>
      <c r="O1" s="109" t="s">
        <v>125</v>
      </c>
    </row>
    <row r="2" spans="12:39" ht="13.5" thickBot="1">
      <c r="L2" s="60"/>
      <c r="N2" s="116" t="s">
        <v>84</v>
      </c>
      <c r="O2" s="110"/>
      <c r="P2" t="s">
        <v>84</v>
      </c>
      <c r="Q2" t="s">
        <v>70</v>
      </c>
      <c r="R2" t="s">
        <v>70</v>
      </c>
      <c r="S2" t="s">
        <v>70</v>
      </c>
      <c r="T2" t="s">
        <v>70</v>
      </c>
      <c r="U2" t="s">
        <v>70</v>
      </c>
      <c r="V2" t="s">
        <v>70</v>
      </c>
      <c r="W2" t="s">
        <v>70</v>
      </c>
      <c r="X2" t="s">
        <v>70</v>
      </c>
      <c r="Y2" t="s">
        <v>70</v>
      </c>
      <c r="Z2" t="s">
        <v>70</v>
      </c>
      <c r="AA2" t="s">
        <v>70</v>
      </c>
      <c r="AB2" t="s">
        <v>70</v>
      </c>
      <c r="AC2" t="s">
        <v>70</v>
      </c>
      <c r="AD2" t="s">
        <v>70</v>
      </c>
      <c r="AE2" t="s">
        <v>70</v>
      </c>
      <c r="AF2" t="s">
        <v>70</v>
      </c>
      <c r="AG2" t="s">
        <v>70</v>
      </c>
      <c r="AH2" t="s">
        <v>70</v>
      </c>
      <c r="AI2" t="s">
        <v>70</v>
      </c>
      <c r="AJ2" t="s">
        <v>70</v>
      </c>
      <c r="AK2" t="s">
        <v>70</v>
      </c>
      <c r="AL2" t="s">
        <v>70</v>
      </c>
      <c r="AM2" t="s">
        <v>70</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36832.416666666664</v>
      </c>
      <c r="R3" s="64">
        <v>36921.4375</v>
      </c>
      <c r="S3" s="64">
        <v>37012.40277777778</v>
      </c>
      <c r="T3" s="64">
        <v>37109.42361111111</v>
      </c>
      <c r="U3" s="64">
        <v>37223.39236111111</v>
      </c>
      <c r="V3" s="64">
        <v>37384.43402777778</v>
      </c>
      <c r="W3" s="64">
        <v>37475.40972222222</v>
      </c>
      <c r="X3" s="64">
        <v>37587.4375</v>
      </c>
      <c r="Y3" s="64">
        <v>37649.430555555555</v>
      </c>
      <c r="Z3" s="64">
        <v>37747.413194444445</v>
      </c>
      <c r="AA3" s="64">
        <v>37838.4375</v>
      </c>
      <c r="AB3" s="64">
        <v>37951.42361111111</v>
      </c>
      <c r="AC3" s="64">
        <v>38028.93402777778</v>
      </c>
      <c r="AD3" s="64">
        <v>38112.413194444445</v>
      </c>
      <c r="AE3" s="64">
        <v>38203.39791666667</v>
      </c>
      <c r="AF3" s="64">
        <v>38336.40972222222</v>
      </c>
      <c r="AG3" s="64">
        <v>38393.73611111111</v>
      </c>
      <c r="AH3" s="64">
        <v>38478.43472222222</v>
      </c>
      <c r="AI3" s="64">
        <v>38594.43819444445</v>
      </c>
      <c r="AJ3" s="64">
        <v>38681.541666666664</v>
      </c>
      <c r="AK3" s="64">
        <v>38777.42152777778</v>
      </c>
      <c r="AL3" s="64">
        <v>38870.40972222222</v>
      </c>
      <c r="AM3" s="64">
        <v>38961.41458333333</v>
      </c>
      <c r="AO3" s="64"/>
      <c r="AP3" s="64"/>
      <c r="AQ3" s="64"/>
    </row>
    <row r="4" spans="2:39" ht="12.75">
      <c r="B4" s="68" t="s">
        <v>103</v>
      </c>
      <c r="C4" s="93" t="s">
        <v>4</v>
      </c>
      <c r="D4" s="81">
        <f>COUNT(Q4:EC4)</f>
        <v>20</v>
      </c>
      <c r="E4" s="82">
        <f>AVERAGE(Q4:EC4)</f>
        <v>0.08354999999999999</v>
      </c>
      <c r="F4" s="82">
        <f aca="true" t="shared" si="0" ref="F4:F15">CONFIDENCE(0.05,G4,D4)</f>
        <v>0.03512585261941761</v>
      </c>
      <c r="G4" s="82">
        <f>STDEV(Q4:EC4)</f>
        <v>0.08014820154268165</v>
      </c>
      <c r="H4" s="82">
        <f>QUARTILE(Q4:EC4,2)</f>
        <v>0.0545</v>
      </c>
      <c r="I4" s="82">
        <f>MIN(Q4:EC4)</f>
        <v>0.012</v>
      </c>
      <c r="J4" s="82">
        <f>MAX(Q4:EC4)</f>
        <v>0.28</v>
      </c>
      <c r="K4" s="82">
        <f>PERCENTILE(Q4:EC4,0.95)</f>
        <v>0.2515</v>
      </c>
      <c r="L4" s="102" t="str">
        <f>IF((H4+H5)&lt;0.08,"A",IF((H4+H5)&lt;0.12,"B",IF((H4+H5)&lt;0.295,"C",IF((H4+H5)&lt;0.444,"D","E"))))</f>
        <v>A</v>
      </c>
      <c r="N4" s="116" t="s">
        <v>86</v>
      </c>
      <c r="O4" s="108"/>
      <c r="P4" t="s">
        <v>86</v>
      </c>
      <c r="R4">
        <v>0.02</v>
      </c>
      <c r="S4">
        <v>0.02</v>
      </c>
      <c r="V4">
        <v>0.03</v>
      </c>
      <c r="W4">
        <v>0.077</v>
      </c>
      <c r="X4">
        <v>0.1</v>
      </c>
      <c r="Y4">
        <v>0.012</v>
      </c>
      <c r="Z4">
        <v>0.25</v>
      </c>
      <c r="AA4">
        <v>0.12</v>
      </c>
      <c r="AB4">
        <v>0.034</v>
      </c>
      <c r="AC4">
        <v>0.18</v>
      </c>
      <c r="AD4">
        <v>0.28</v>
      </c>
      <c r="AE4">
        <v>0.18</v>
      </c>
      <c r="AF4">
        <v>0.021</v>
      </c>
      <c r="AG4">
        <v>0.017</v>
      </c>
      <c r="AH4">
        <v>0.072</v>
      </c>
      <c r="AI4">
        <v>0.093</v>
      </c>
      <c r="AJ4">
        <v>0.013</v>
      </c>
      <c r="AK4">
        <v>0.043</v>
      </c>
      <c r="AL4">
        <v>0.062</v>
      </c>
      <c r="AM4">
        <v>0.047</v>
      </c>
    </row>
    <row r="5" spans="2:39" ht="12.75">
      <c r="B5" s="69"/>
      <c r="C5" s="5" t="s">
        <v>5</v>
      </c>
      <c r="D5" s="73">
        <f>COUNT(Q5:EC5)</f>
        <v>18</v>
      </c>
      <c r="E5" s="112">
        <f>AVERAGE(Q5:EC5)</f>
        <v>0.007888888888888891</v>
      </c>
      <c r="F5" s="112">
        <f t="shared" si="0"/>
        <v>0.0034201373875297945</v>
      </c>
      <c r="G5" s="112">
        <f>STDEV(Q5:EC5)</f>
        <v>0.007403408506650152</v>
      </c>
      <c r="H5" s="112">
        <f>QUARTILE(Q5:EC5,2)</f>
        <v>0.005</v>
      </c>
      <c r="I5" s="112">
        <f>MIN(Q5:EC5)</f>
        <v>0.005</v>
      </c>
      <c r="J5" s="112">
        <f>MAX(Q5:EC5)</f>
        <v>0.035</v>
      </c>
      <c r="K5" s="112">
        <f>PERCENTILE(Q5:EC5,0.95)</f>
        <v>0.019699999999999974</v>
      </c>
      <c r="L5" s="102"/>
      <c r="N5" s="116" t="s">
        <v>87</v>
      </c>
      <c r="O5" s="108"/>
      <c r="P5" t="s">
        <v>87</v>
      </c>
      <c r="V5">
        <v>0.005</v>
      </c>
      <c r="W5">
        <v>0.01</v>
      </c>
      <c r="X5">
        <v>0.035</v>
      </c>
      <c r="Y5">
        <v>0.005</v>
      </c>
      <c r="Z5">
        <v>0.008</v>
      </c>
      <c r="AA5">
        <v>0.007</v>
      </c>
      <c r="AB5">
        <v>0.005</v>
      </c>
      <c r="AC5">
        <v>0.017</v>
      </c>
      <c r="AD5">
        <v>0.005</v>
      </c>
      <c r="AE5">
        <v>0.005</v>
      </c>
      <c r="AF5">
        <v>0.005</v>
      </c>
      <c r="AG5">
        <v>0.005</v>
      </c>
      <c r="AH5">
        <v>0.005</v>
      </c>
      <c r="AI5">
        <v>0.005</v>
      </c>
      <c r="AJ5">
        <v>0.005</v>
      </c>
      <c r="AK5">
        <v>0.005</v>
      </c>
      <c r="AL5">
        <v>0.005</v>
      </c>
      <c r="AM5">
        <v>0.005</v>
      </c>
    </row>
    <row r="6" spans="2:39" ht="12.75">
      <c r="B6" s="70"/>
      <c r="C6" s="94" t="s">
        <v>6</v>
      </c>
      <c r="D6" s="73">
        <f>COUNT(Q6:EC6)</f>
        <v>23</v>
      </c>
      <c r="E6" s="112">
        <f>AVERAGE(Q6:EC6)</f>
        <v>0.00930434782608696</v>
      </c>
      <c r="F6" s="112">
        <f t="shared" si="0"/>
        <v>0.0007835476035921199</v>
      </c>
      <c r="G6" s="112">
        <f>STDEV(Q6:EC6)</f>
        <v>0.001917260892018413</v>
      </c>
      <c r="H6" s="112">
        <f>QUARTILE(Q6:EC6,2)</f>
        <v>0.009</v>
      </c>
      <c r="I6" s="112">
        <f>MIN(Q6:EC6)</f>
        <v>0.006</v>
      </c>
      <c r="J6" s="112">
        <f>MAX(Q6:EC6)</f>
        <v>0.014</v>
      </c>
      <c r="K6" s="112">
        <f>PERCENTILE(Q6:EC6,0.95)</f>
        <v>0.012799999999999997</v>
      </c>
      <c r="L6" s="102" t="str">
        <f>IF((H6)&lt;0.005,"A",IF((H6)&lt;0.008,"B",IF((H6)&lt;0.026,"C",IF((H6)&lt;0.05,"D","E"))))</f>
        <v>C</v>
      </c>
      <c r="N6" s="116" t="s">
        <v>88</v>
      </c>
      <c r="O6" s="108"/>
      <c r="P6" t="s">
        <v>88</v>
      </c>
      <c r="Q6">
        <v>0.007</v>
      </c>
      <c r="R6">
        <v>0.008</v>
      </c>
      <c r="S6">
        <v>0.008</v>
      </c>
      <c r="T6">
        <v>0.01</v>
      </c>
      <c r="U6">
        <v>0.009</v>
      </c>
      <c r="V6">
        <v>0.01</v>
      </c>
      <c r="W6">
        <v>0.006</v>
      </c>
      <c r="X6">
        <v>0.009</v>
      </c>
      <c r="Y6">
        <v>0.008</v>
      </c>
      <c r="Z6">
        <v>0.013</v>
      </c>
      <c r="AA6">
        <v>0.014</v>
      </c>
      <c r="AB6">
        <v>0.01</v>
      </c>
      <c r="AC6">
        <v>0.01</v>
      </c>
      <c r="AD6">
        <v>0.008</v>
      </c>
      <c r="AE6">
        <v>0.011</v>
      </c>
      <c r="AF6">
        <v>0.007</v>
      </c>
      <c r="AG6">
        <v>0.01</v>
      </c>
      <c r="AH6">
        <v>0.01</v>
      </c>
      <c r="AI6">
        <v>0.008</v>
      </c>
      <c r="AJ6">
        <v>0.011</v>
      </c>
      <c r="AK6">
        <v>0.011</v>
      </c>
      <c r="AL6">
        <v>0.008</v>
      </c>
      <c r="AM6">
        <v>0.008</v>
      </c>
    </row>
    <row r="7" spans="2:39" ht="12.75">
      <c r="B7" s="71" t="s">
        <v>104</v>
      </c>
      <c r="C7" s="6" t="s">
        <v>7</v>
      </c>
      <c r="D7" s="86">
        <f>COUNT(Q7:EC7)</f>
        <v>23</v>
      </c>
      <c r="E7" s="113">
        <f>AVERAGE(Q7:EC7)</f>
        <v>7.879130434782611</v>
      </c>
      <c r="F7" s="113">
        <f t="shared" si="0"/>
        <v>0.13900560302672132</v>
      </c>
      <c r="G7" s="113">
        <f>STDEV(Q7:EC7)</f>
        <v>0.34013250150057556</v>
      </c>
      <c r="H7" s="113">
        <f>QUARTILE(Q7:EC7,2)</f>
        <v>7.99</v>
      </c>
      <c r="I7" s="113">
        <f>MIN(Q7:EC7)</f>
        <v>7.13</v>
      </c>
      <c r="J7" s="113">
        <f>MAX(Q7:EC7)</f>
        <v>8.53</v>
      </c>
      <c r="K7" s="113">
        <f>PERCENTILE(Q7:EC7,0.95)</f>
        <v>8.297</v>
      </c>
      <c r="L7" s="103" t="str">
        <f>IF(AND(7.2&lt;H7,H7&lt;9),"A",IF(AND(7.2&lt;=H7,H7&lt;=9),"B",IF(AND(6.5&lt;=H7,H7&lt;=9),"C",IF(AND(6.5&lt;=H7,H7&lt;=10),"D","E"))))</f>
        <v>A</v>
      </c>
      <c r="N7" s="116" t="s">
        <v>89</v>
      </c>
      <c r="O7" s="108"/>
      <c r="P7" t="s">
        <v>89</v>
      </c>
      <c r="Q7">
        <v>8.09</v>
      </c>
      <c r="R7">
        <v>7.99</v>
      </c>
      <c r="S7">
        <v>8.53</v>
      </c>
      <c r="T7">
        <v>8</v>
      </c>
      <c r="U7">
        <v>7.13</v>
      </c>
      <c r="V7">
        <v>8.16</v>
      </c>
      <c r="W7">
        <v>8.18</v>
      </c>
      <c r="X7">
        <v>8.31</v>
      </c>
      <c r="Y7">
        <v>8.11</v>
      </c>
      <c r="Z7">
        <v>8.03</v>
      </c>
      <c r="AA7">
        <v>7.81</v>
      </c>
      <c r="AB7">
        <v>8.09</v>
      </c>
      <c r="AC7">
        <v>7.42</v>
      </c>
      <c r="AD7">
        <v>7.32</v>
      </c>
      <c r="AE7">
        <v>7.8</v>
      </c>
      <c r="AF7">
        <v>7.84</v>
      </c>
      <c r="AG7">
        <v>8.07</v>
      </c>
      <c r="AH7">
        <v>7.65</v>
      </c>
      <c r="AI7">
        <v>8.01</v>
      </c>
      <c r="AJ7">
        <v>7.52</v>
      </c>
      <c r="AK7">
        <v>7.4</v>
      </c>
      <c r="AL7">
        <v>7.8</v>
      </c>
      <c r="AM7">
        <v>7.96</v>
      </c>
    </row>
    <row r="8" spans="2:39" ht="12.75">
      <c r="B8" s="71"/>
      <c r="C8" s="6" t="s">
        <v>8</v>
      </c>
      <c r="D8" s="81">
        <f>COUNT(Q8:EC8)</f>
        <v>23</v>
      </c>
      <c r="E8" s="44">
        <f>AVERAGE(Q8:EC8)</f>
        <v>10.9</v>
      </c>
      <c r="F8" s="44">
        <f t="shared" si="0"/>
        <v>1.470629261992913</v>
      </c>
      <c r="G8" s="44">
        <f>STDEV(Q8:EC8)</f>
        <v>3.598479476869999</v>
      </c>
      <c r="H8" s="44">
        <f>QUARTILE(Q8:EC8,2)</f>
        <v>12</v>
      </c>
      <c r="I8" s="44">
        <f>MIN(Q8:EC8)</f>
        <v>4.5</v>
      </c>
      <c r="J8" s="44">
        <f>MAX(Q8:EC8)</f>
        <v>19.2</v>
      </c>
      <c r="K8" s="44">
        <f>PERCENTILE(Q8:EC8,0.95)</f>
        <v>15.37</v>
      </c>
      <c r="L8" s="102" t="str">
        <f>IF(H8&lt;18,"A",IF(H8&lt;20,"B",IF(H8&lt;22,"C",IF(H8&lt;25,"D","E"))))</f>
        <v>A</v>
      </c>
      <c r="N8" s="116" t="s">
        <v>90</v>
      </c>
      <c r="O8" s="108"/>
      <c r="P8" t="s">
        <v>90</v>
      </c>
      <c r="Q8">
        <v>11.8</v>
      </c>
      <c r="R8">
        <v>15.1</v>
      </c>
      <c r="S8">
        <v>12</v>
      </c>
      <c r="T8">
        <v>4.5</v>
      </c>
      <c r="U8">
        <v>12.3</v>
      </c>
      <c r="V8">
        <v>9.35</v>
      </c>
      <c r="W8">
        <v>8.2</v>
      </c>
      <c r="X8">
        <v>13.3</v>
      </c>
      <c r="Y8">
        <v>12.9</v>
      </c>
      <c r="Z8">
        <v>6.7</v>
      </c>
      <c r="AA8">
        <v>8</v>
      </c>
      <c r="AB8">
        <v>12.3</v>
      </c>
      <c r="AC8">
        <v>15.4</v>
      </c>
      <c r="AD8">
        <v>12</v>
      </c>
      <c r="AE8">
        <v>5.5</v>
      </c>
      <c r="AF8">
        <v>12.5</v>
      </c>
      <c r="AG8">
        <v>19.2</v>
      </c>
      <c r="AH8">
        <v>8.6</v>
      </c>
      <c r="AI8">
        <v>9.03</v>
      </c>
      <c r="AJ8">
        <v>12.99</v>
      </c>
      <c r="AK8">
        <v>14.49</v>
      </c>
      <c r="AL8">
        <v>6.84</v>
      </c>
      <c r="AM8">
        <v>7.7</v>
      </c>
    </row>
    <row r="9" spans="2:39" ht="12.75">
      <c r="B9" s="71"/>
      <c r="C9" s="7" t="s">
        <v>9</v>
      </c>
      <c r="D9" s="81">
        <f>COUNT(Q9:EC9)</f>
        <v>23</v>
      </c>
      <c r="E9" s="44">
        <f>AVERAGE(Q9:EC9)</f>
        <v>104.41304347826087</v>
      </c>
      <c r="F9" s="44">
        <f t="shared" si="0"/>
        <v>2.441855520002207</v>
      </c>
      <c r="G9" s="44">
        <f>STDEV(Q9:EC9)</f>
        <v>5.974970851798545</v>
      </c>
      <c r="H9" s="44">
        <f>QUARTILE(Q9:EC9,2)</f>
        <v>102.8</v>
      </c>
      <c r="I9" s="44">
        <f>MIN(Q9:EC9)</f>
        <v>96.9</v>
      </c>
      <c r="J9" s="44">
        <f>MAX(Q9:EC9)</f>
        <v>126.3</v>
      </c>
      <c r="K9" s="44">
        <f>PERCENTILE(Q9:EC9,0.95)</f>
        <v>111.95</v>
      </c>
      <c r="L9" s="104" t="str">
        <f>IF(AND(99&lt;=H9,H9&lt;=103),"A",IF(AND(98&lt;=H9,H9&lt;=105),"B",IF(H9&gt;90,"C",IF(H9&gt;80,"D","E"))))</f>
        <v>A</v>
      </c>
      <c r="N9" s="116" t="s">
        <v>91</v>
      </c>
      <c r="O9" s="108"/>
      <c r="P9" t="s">
        <v>91</v>
      </c>
      <c r="Q9">
        <v>101.4</v>
      </c>
      <c r="R9">
        <v>96.9</v>
      </c>
      <c r="S9">
        <v>108.9</v>
      </c>
      <c r="T9">
        <v>102.9</v>
      </c>
      <c r="U9">
        <v>101.1</v>
      </c>
      <c r="V9">
        <v>104.8</v>
      </c>
      <c r="W9">
        <v>112</v>
      </c>
      <c r="X9">
        <v>102.9</v>
      </c>
      <c r="Y9">
        <v>126.3</v>
      </c>
      <c r="Z9">
        <v>102</v>
      </c>
      <c r="AA9">
        <v>103.8</v>
      </c>
      <c r="AB9">
        <v>104.5</v>
      </c>
      <c r="AC9">
        <v>100.3</v>
      </c>
      <c r="AD9">
        <v>101</v>
      </c>
      <c r="AE9">
        <v>99.3</v>
      </c>
      <c r="AF9">
        <v>106.5</v>
      </c>
      <c r="AG9">
        <v>105.4</v>
      </c>
      <c r="AH9">
        <v>101.7</v>
      </c>
      <c r="AI9">
        <v>111.5</v>
      </c>
      <c r="AJ9">
        <v>102.8</v>
      </c>
      <c r="AK9">
        <v>102.3</v>
      </c>
      <c r="AL9">
        <v>101</v>
      </c>
      <c r="AM9">
        <v>102.2</v>
      </c>
    </row>
    <row r="10" spans="2:39" ht="12.75">
      <c r="B10" s="71"/>
      <c r="C10" s="6" t="s">
        <v>10</v>
      </c>
      <c r="D10" s="81">
        <f>COUNT(Q10:EC10)</f>
        <v>23</v>
      </c>
      <c r="E10" s="44">
        <f>AVERAGE(Q10:EC10)</f>
        <v>11.601304347826087</v>
      </c>
      <c r="F10" s="44">
        <f t="shared" si="0"/>
        <v>0.46106443814550585</v>
      </c>
      <c r="G10" s="44">
        <f>STDEV(Q10:EC10)</f>
        <v>1.1281775502908462</v>
      </c>
      <c r="H10" s="44">
        <f>QUARTILE(Q10:EC10,2)</f>
        <v>11.72</v>
      </c>
      <c r="I10" s="44">
        <f>MIN(Q10:EC10)</f>
        <v>9.61</v>
      </c>
      <c r="J10" s="44">
        <f>MAX(Q10:EC10)</f>
        <v>13.32</v>
      </c>
      <c r="K10" s="44">
        <f>PERCENTILE(Q10:EC10,0.95)</f>
        <v>13.235</v>
      </c>
      <c r="L10" s="102"/>
      <c r="N10" s="116" t="s">
        <v>92</v>
      </c>
      <c r="O10" s="108"/>
      <c r="P10" t="s">
        <v>92</v>
      </c>
      <c r="Q10">
        <v>10.88</v>
      </c>
      <c r="R10">
        <v>9.61</v>
      </c>
      <c r="S10">
        <v>11.63</v>
      </c>
      <c r="T10">
        <v>13.24</v>
      </c>
      <c r="U10">
        <v>10.29</v>
      </c>
      <c r="V10">
        <v>12</v>
      </c>
      <c r="W10">
        <v>13.19</v>
      </c>
      <c r="X10">
        <v>11.72</v>
      </c>
      <c r="Y10">
        <v>13.32</v>
      </c>
      <c r="Z10">
        <v>12.48</v>
      </c>
      <c r="AA10">
        <v>12.29</v>
      </c>
      <c r="AB10">
        <v>11.19</v>
      </c>
      <c r="AC10">
        <v>10.03</v>
      </c>
      <c r="AD10">
        <v>10.87</v>
      </c>
      <c r="AE10">
        <v>12.54</v>
      </c>
      <c r="AF10">
        <v>11.33</v>
      </c>
      <c r="AG10">
        <v>9.73</v>
      </c>
      <c r="AH10">
        <v>11.88</v>
      </c>
      <c r="AI10">
        <v>12.88</v>
      </c>
      <c r="AJ10">
        <v>10.81</v>
      </c>
      <c r="AK10">
        <v>10.42</v>
      </c>
      <c r="AL10">
        <v>12.31</v>
      </c>
      <c r="AM10">
        <v>12.19</v>
      </c>
    </row>
    <row r="11" spans="2:39" ht="12.75">
      <c r="B11" s="72"/>
      <c r="C11" s="95" t="s">
        <v>11</v>
      </c>
      <c r="D11" s="87">
        <f>COUNT(Q11:EC11)</f>
        <v>23</v>
      </c>
      <c r="E11" s="115">
        <f>AVERAGE(Q11:EC11)</f>
        <v>156.8608695652174</v>
      </c>
      <c r="F11" s="115">
        <f t="shared" si="0"/>
        <v>14.477672864478613</v>
      </c>
      <c r="G11" s="115">
        <f>STDEV(Q11:EC11)</f>
        <v>35.42538559654679</v>
      </c>
      <c r="H11" s="115">
        <f>QUARTILE(Q11:EC11,2)</f>
        <v>164.8</v>
      </c>
      <c r="I11" s="115">
        <f>MIN(Q11:EC11)</f>
        <v>91</v>
      </c>
      <c r="J11" s="115">
        <f>MAX(Q11:EC11)</f>
        <v>211.2</v>
      </c>
      <c r="K11" s="115">
        <f>PERCENTILE(Q11:EC11,0.95)</f>
        <v>197.88</v>
      </c>
      <c r="L11" s="105"/>
      <c r="N11" s="116" t="s">
        <v>93</v>
      </c>
      <c r="O11" s="108"/>
      <c r="P11" t="s">
        <v>93</v>
      </c>
      <c r="Q11">
        <v>146</v>
      </c>
      <c r="R11">
        <v>196.8</v>
      </c>
      <c r="S11">
        <v>211.2</v>
      </c>
      <c r="T11">
        <v>164.8</v>
      </c>
      <c r="U11">
        <v>91</v>
      </c>
      <c r="V11">
        <v>185</v>
      </c>
      <c r="W11">
        <v>151</v>
      </c>
      <c r="X11">
        <v>167</v>
      </c>
      <c r="Y11">
        <v>187</v>
      </c>
      <c r="Z11">
        <v>180</v>
      </c>
      <c r="AA11">
        <v>171</v>
      </c>
      <c r="AB11">
        <v>170</v>
      </c>
      <c r="AC11">
        <v>96</v>
      </c>
      <c r="AD11">
        <v>98</v>
      </c>
      <c r="AE11">
        <v>116</v>
      </c>
      <c r="AF11">
        <v>161</v>
      </c>
      <c r="AG11">
        <v>160</v>
      </c>
      <c r="AH11">
        <v>198</v>
      </c>
      <c r="AI11">
        <v>124</v>
      </c>
      <c r="AJ11">
        <v>195</v>
      </c>
      <c r="AK11">
        <v>186</v>
      </c>
      <c r="AL11">
        <v>124</v>
      </c>
      <c r="AM11">
        <v>129</v>
      </c>
    </row>
    <row r="12" spans="2:39" ht="12.75">
      <c r="B12" s="68" t="s">
        <v>105</v>
      </c>
      <c r="C12" s="4" t="s">
        <v>12</v>
      </c>
      <c r="D12" s="81">
        <f>COUNT(Q12:EC12)</f>
        <v>23</v>
      </c>
      <c r="E12" s="82">
        <f>AVERAGE(Q12:EC12)</f>
        <v>2.115217391304348</v>
      </c>
      <c r="F12" s="82">
        <f t="shared" si="0"/>
        <v>0.9497560665463477</v>
      </c>
      <c r="G12" s="82">
        <f>STDEV(Q12:EC12)</f>
        <v>2.323956011094439</v>
      </c>
      <c r="H12" s="82">
        <f>QUARTILE(Q12:EC12,2)</f>
        <v>1.19</v>
      </c>
      <c r="I12" s="82">
        <f>MIN(Q12:EC12)</f>
        <v>0.75</v>
      </c>
      <c r="J12" s="82">
        <f>MAX(Q12:EC12)</f>
        <v>10.2</v>
      </c>
      <c r="K12" s="82">
        <f>PERCENTILE(Q12:EC12,0.95)</f>
        <v>6.805999999999997</v>
      </c>
      <c r="L12" s="102" t="str">
        <f>IF(H12&lt;1,"A",IF(H12&lt;2,"B",IF(H12&lt;3,"C",IF(H12&lt;5,"D","E"))))</f>
        <v>B</v>
      </c>
      <c r="N12" s="116" t="s">
        <v>94</v>
      </c>
      <c r="O12" s="108"/>
      <c r="P12" t="s">
        <v>94</v>
      </c>
      <c r="Q12">
        <v>1.03</v>
      </c>
      <c r="R12">
        <v>0.75</v>
      </c>
      <c r="S12">
        <v>0.79</v>
      </c>
      <c r="T12">
        <v>0.76</v>
      </c>
      <c r="U12">
        <v>10.2</v>
      </c>
      <c r="V12">
        <v>1.68</v>
      </c>
      <c r="W12">
        <v>1.21</v>
      </c>
      <c r="X12">
        <v>0.94</v>
      </c>
      <c r="Y12">
        <v>0.86</v>
      </c>
      <c r="Z12">
        <v>0.9</v>
      </c>
      <c r="AA12">
        <v>1.42</v>
      </c>
      <c r="AB12">
        <v>1.19</v>
      </c>
      <c r="AC12">
        <v>7</v>
      </c>
      <c r="AD12">
        <v>5.06</v>
      </c>
      <c r="AE12">
        <v>2.53</v>
      </c>
      <c r="AF12">
        <v>1</v>
      </c>
      <c r="AG12">
        <v>1.38</v>
      </c>
      <c r="AH12">
        <v>0.96</v>
      </c>
      <c r="AI12">
        <v>1.6</v>
      </c>
      <c r="AJ12">
        <v>1.12</v>
      </c>
      <c r="AK12">
        <v>1.14</v>
      </c>
      <c r="AL12">
        <v>3.46</v>
      </c>
      <c r="AM12">
        <v>1.67</v>
      </c>
    </row>
    <row r="13" spans="2:39" ht="12.75">
      <c r="B13" s="71"/>
      <c r="C13" s="6" t="s">
        <v>13</v>
      </c>
      <c r="D13" s="81">
        <f>COUNT(Q13:EC13)</f>
        <v>23</v>
      </c>
      <c r="E13" s="44">
        <f>AVERAGE(Q13:EC13)</f>
        <v>3.046956521739131</v>
      </c>
      <c r="F13" s="44">
        <f t="shared" si="0"/>
        <v>0.42599576234749786</v>
      </c>
      <c r="G13" s="44">
        <f>STDEV(Q13:EC13)</f>
        <v>1.0423680853213213</v>
      </c>
      <c r="H13" s="44">
        <f>QUARTILE(Q13:EC13,2)</f>
        <v>3.2</v>
      </c>
      <c r="I13" s="44">
        <f>MIN(Q13:EC13)</f>
        <v>0.75</v>
      </c>
      <c r="J13" s="44">
        <f>MAX(Q13:EC13)</f>
        <v>5</v>
      </c>
      <c r="K13" s="44">
        <f>PERCENTILE(Q13:EC13,0.95)</f>
        <v>4.2</v>
      </c>
      <c r="L13" s="102" t="str">
        <f>IF(H13&gt;6,"A",IF(H13&gt;4,"B",IF(H13&gt;2.5,"C",IF(H13&gt;0.6,"D","E"))))</f>
        <v>C</v>
      </c>
      <c r="N13" s="116" t="s">
        <v>13</v>
      </c>
      <c r="O13" s="108"/>
      <c r="P13" t="s">
        <v>13</v>
      </c>
      <c r="Q13">
        <v>4.05</v>
      </c>
      <c r="R13">
        <v>5</v>
      </c>
      <c r="S13">
        <v>3.75</v>
      </c>
      <c r="T13">
        <v>4.2</v>
      </c>
      <c r="U13">
        <v>0.75</v>
      </c>
      <c r="V13">
        <v>3.88</v>
      </c>
      <c r="W13">
        <v>3.5</v>
      </c>
      <c r="X13">
        <v>2.8</v>
      </c>
      <c r="Y13">
        <v>2.7</v>
      </c>
      <c r="Z13">
        <v>4</v>
      </c>
      <c r="AA13">
        <v>2.6</v>
      </c>
      <c r="AB13">
        <v>2.1</v>
      </c>
      <c r="AC13">
        <v>1.1</v>
      </c>
      <c r="AD13">
        <v>1.55</v>
      </c>
      <c r="AE13">
        <v>2.7</v>
      </c>
      <c r="AF13">
        <v>3.2</v>
      </c>
      <c r="AG13">
        <v>2.4</v>
      </c>
      <c r="AH13">
        <v>4.2</v>
      </c>
      <c r="AI13">
        <v>2.7</v>
      </c>
      <c r="AJ13">
        <v>2.6</v>
      </c>
      <c r="AK13">
        <v>3.2</v>
      </c>
      <c r="AL13">
        <v>3.3</v>
      </c>
      <c r="AM13">
        <v>3.8</v>
      </c>
    </row>
    <row r="14" spans="2:39" ht="12.75">
      <c r="B14" s="72"/>
      <c r="C14" s="95" t="s">
        <v>14</v>
      </c>
      <c r="D14" s="87">
        <f>COUNT(Q14:EC14)</f>
        <v>23</v>
      </c>
      <c r="E14" s="115">
        <f>AVERAGE(Q14:EC14)</f>
        <v>1.4391304347826088</v>
      </c>
      <c r="F14" s="115">
        <f t="shared" si="0"/>
        <v>0.6270697342535481</v>
      </c>
      <c r="G14" s="115">
        <f>STDEV(Q14:EC14)</f>
        <v>1.5343755408619029</v>
      </c>
      <c r="H14" s="115">
        <f>QUARTILE(Q14:EC14,2)</f>
        <v>1</v>
      </c>
      <c r="I14" s="115">
        <f>MIN(Q14:EC14)</f>
        <v>0.3</v>
      </c>
      <c r="J14" s="115">
        <f>MAX(Q14:EC14)</f>
        <v>7</v>
      </c>
      <c r="K14" s="115">
        <f>PERCENTILE(Q14:EC14,0.95)</f>
        <v>4</v>
      </c>
      <c r="L14" s="102"/>
      <c r="N14" s="116" t="s">
        <v>95</v>
      </c>
      <c r="O14" s="108"/>
      <c r="P14" t="s">
        <v>95</v>
      </c>
      <c r="Q14">
        <v>4</v>
      </c>
      <c r="R14">
        <v>1</v>
      </c>
      <c r="S14">
        <v>1</v>
      </c>
      <c r="T14">
        <v>1</v>
      </c>
      <c r="U14">
        <v>7</v>
      </c>
      <c r="V14">
        <v>0.5</v>
      </c>
      <c r="W14">
        <v>0.6</v>
      </c>
      <c r="X14">
        <v>1</v>
      </c>
      <c r="Y14">
        <v>0.8</v>
      </c>
      <c r="Z14">
        <v>0.8</v>
      </c>
      <c r="AA14">
        <v>1</v>
      </c>
      <c r="AB14">
        <v>1</v>
      </c>
      <c r="AC14">
        <v>4</v>
      </c>
      <c r="AD14">
        <v>2</v>
      </c>
      <c r="AE14">
        <v>0.8</v>
      </c>
      <c r="AF14">
        <v>1</v>
      </c>
      <c r="AG14">
        <v>1</v>
      </c>
      <c r="AH14">
        <v>0.8</v>
      </c>
      <c r="AI14">
        <v>1</v>
      </c>
      <c r="AJ14">
        <v>0.9</v>
      </c>
      <c r="AK14">
        <v>0.6</v>
      </c>
      <c r="AL14">
        <v>0.3</v>
      </c>
      <c r="AM14">
        <v>1</v>
      </c>
    </row>
    <row r="15" spans="2:39" ht="12.75">
      <c r="B15" s="208" t="s">
        <v>267</v>
      </c>
      <c r="C15" s="8" t="s">
        <v>268</v>
      </c>
      <c r="D15" s="81">
        <f>COUNT(Q15:EC15)</f>
        <v>23</v>
      </c>
      <c r="E15" s="40">
        <f>AVERAGE(Q15:EC15)</f>
        <v>348.0869565217391</v>
      </c>
      <c r="F15" s="40">
        <f t="shared" si="0"/>
        <v>283.08603572967024</v>
      </c>
      <c r="G15" s="40">
        <f>STDEV(Q15:EC15)</f>
        <v>692.6825924715039</v>
      </c>
      <c r="H15" s="40">
        <f>QUARTILE(Q15:EC15,2)</f>
        <v>100</v>
      </c>
      <c r="I15" s="40">
        <f>MIN(Q15:EC15)</f>
        <v>5</v>
      </c>
      <c r="J15" s="40">
        <f>MAX(Q15:EC15)</f>
        <v>2500</v>
      </c>
      <c r="K15" s="40">
        <f>PERCENTILE(Q15:EC15,0.95)</f>
        <v>2259.999999999998</v>
      </c>
      <c r="L15" s="106" t="str">
        <f>IF(H15&lt;10,"A",IF(H15&lt;130,"B",IF(H15&lt;260,"C",IF(H15&lt;550,"D","E"))))</f>
        <v>B</v>
      </c>
      <c r="N15" s="116" t="s">
        <v>255</v>
      </c>
      <c r="O15" s="108"/>
      <c r="P15" t="s">
        <v>255</v>
      </c>
      <c r="Q15">
        <v>100</v>
      </c>
      <c r="R15">
        <v>45</v>
      </c>
      <c r="S15">
        <v>2400</v>
      </c>
      <c r="T15">
        <v>5</v>
      </c>
      <c r="U15">
        <v>2500</v>
      </c>
      <c r="V15">
        <v>150</v>
      </c>
      <c r="W15">
        <v>45</v>
      </c>
      <c r="X15">
        <v>135</v>
      </c>
      <c r="Y15">
        <v>175</v>
      </c>
      <c r="Z15">
        <v>255</v>
      </c>
      <c r="AA15">
        <v>15</v>
      </c>
      <c r="AB15">
        <v>206</v>
      </c>
      <c r="AC15">
        <v>1000</v>
      </c>
      <c r="AD15">
        <v>160</v>
      </c>
      <c r="AE15">
        <v>15</v>
      </c>
      <c r="AF15">
        <v>100</v>
      </c>
      <c r="AG15">
        <v>125</v>
      </c>
      <c r="AH15">
        <v>95</v>
      </c>
      <c r="AI15">
        <v>80</v>
      </c>
      <c r="AJ15">
        <v>250</v>
      </c>
      <c r="AK15">
        <v>80</v>
      </c>
      <c r="AL15">
        <v>60</v>
      </c>
      <c r="AM15">
        <v>10</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127.0555</v>
      </c>
      <c r="F17" s="44">
        <f>CONFIDENCE(0.05,G17,D17)</f>
        <v>8.207612225765029</v>
      </c>
      <c r="G17" s="44">
        <f>STDEV(Q17:EC17)</f>
        <v>10.257567036095907</v>
      </c>
      <c r="H17" s="44">
        <f>QUARTILE(Q17:EC17,2)</f>
        <v>131.5</v>
      </c>
      <c r="I17" s="44">
        <f>MIN(Q17:EC17)</f>
        <v>108</v>
      </c>
      <c r="J17" s="44">
        <f>MAX(Q17:EC17)</f>
        <v>135</v>
      </c>
      <c r="K17" s="44">
        <f>PERCENTILE(Q17:EC17,0.95)</f>
        <v>134.58325</v>
      </c>
      <c r="L17" s="102" t="str">
        <f>IF(H17&gt;120,"A",IF(H17&gt;100,"B",IF(H17&gt;80,"C",IF(H17&gt;60,"D","E"))))</f>
        <v>A</v>
      </c>
      <c r="N17" s="116" t="s">
        <v>17</v>
      </c>
      <c r="O17" s="108"/>
      <c r="P17" t="s">
        <v>17</v>
      </c>
      <c r="Q17">
        <v>135</v>
      </c>
      <c r="U17">
        <v>133</v>
      </c>
      <c r="X17">
        <v>108</v>
      </c>
      <c r="AB17">
        <v>130</v>
      </c>
      <c r="AF17">
        <v>123</v>
      </c>
      <c r="AJ17">
        <v>133.333</v>
      </c>
    </row>
    <row r="18" spans="2:36" ht="12.75">
      <c r="B18" s="74"/>
      <c r="C18" s="96" t="s">
        <v>18</v>
      </c>
      <c r="D18" s="81">
        <f>COUNT(Q18:EC18)</f>
        <v>6</v>
      </c>
      <c r="E18" s="44">
        <f>AVERAGE(Q18:EC18)</f>
        <v>6.801666666666667</v>
      </c>
      <c r="F18" s="44">
        <f>CONFIDENCE(0.05,G18,D18)</f>
        <v>0.41191637739505294</v>
      </c>
      <c r="G18" s="44">
        <f>STDEV(Q18:EC18)</f>
        <v>0.5147976948925241</v>
      </c>
      <c r="H18" s="44">
        <f>QUARTILE(Q18:EC18,2)</f>
        <v>6.89</v>
      </c>
      <c r="I18" s="44">
        <f>MIN(Q18:EC18)</f>
        <v>5.89</v>
      </c>
      <c r="J18" s="44">
        <f>MAX(Q18:EC18)</f>
        <v>7.3</v>
      </c>
      <c r="K18" s="44">
        <f>PERCENTILE(Q18:EC18,0.95)</f>
        <v>7.2775</v>
      </c>
      <c r="L18" s="105" t="str">
        <f>IF(H18&gt;6,"A",IF(H18&gt;5,"B",IF(H18&gt;4,"C",IF(H18&gt;3,"D","E"))))</f>
        <v>A</v>
      </c>
      <c r="N18" s="116" t="s">
        <v>18</v>
      </c>
      <c r="O18" s="108"/>
      <c r="P18" t="s">
        <v>18</v>
      </c>
      <c r="Q18">
        <v>6.76</v>
      </c>
      <c r="U18">
        <v>7.21</v>
      </c>
      <c r="X18">
        <v>5.89</v>
      </c>
      <c r="AB18">
        <v>6.63</v>
      </c>
      <c r="AF18">
        <v>7.3</v>
      </c>
      <c r="AJ18">
        <v>7.02</v>
      </c>
    </row>
    <row r="19" spans="2:36" ht="12.75">
      <c r="B19" s="71" t="s">
        <v>106</v>
      </c>
      <c r="C19" s="7" t="s">
        <v>19</v>
      </c>
      <c r="D19" s="86">
        <f>COUNT(Q19:EC19)</f>
        <v>7</v>
      </c>
      <c r="E19" s="113">
        <f>AVERAGE(Q19:EC19)</f>
        <v>7.854</v>
      </c>
      <c r="F19" s="113">
        <f>CONFIDENCE(0.05,G19,D19)</f>
        <v>1.429166735334077</v>
      </c>
      <c r="G19" s="113">
        <f>STDEV(Q19:EC19)</f>
        <v>1.9292292070496266</v>
      </c>
      <c r="H19" s="113">
        <f>QUARTILE(Q19:EC19,2)</f>
        <v>7.958</v>
      </c>
      <c r="I19" s="113">
        <f>MIN(Q19:EC19)</f>
        <v>4.05</v>
      </c>
      <c r="J19" s="113">
        <f>MAX(Q19:EC19)</f>
        <v>10</v>
      </c>
      <c r="K19" s="113">
        <f>PERCENTILE(Q19:EC19,0.95)</f>
        <v>9.879999999999999</v>
      </c>
      <c r="L19" s="102" t="str">
        <f>IF(H19&gt;8,"A",IF(H19&gt;6,"B",IF(H19&gt;4,"C",IF(H19&gt;2,"D","E"))))</f>
        <v>B</v>
      </c>
      <c r="N19" s="116" t="s">
        <v>96</v>
      </c>
      <c r="O19" s="108"/>
      <c r="P19" t="s">
        <v>96</v>
      </c>
      <c r="R19">
        <v>8.14</v>
      </c>
      <c r="S19">
        <v>7.63</v>
      </c>
      <c r="T19">
        <v>4.05</v>
      </c>
      <c r="X19">
        <v>7.6</v>
      </c>
      <c r="AB19">
        <v>9.6</v>
      </c>
      <c r="AF19">
        <v>10</v>
      </c>
      <c r="AJ19">
        <v>7.958</v>
      </c>
    </row>
    <row r="20" spans="2:36" ht="13.5" thickBot="1">
      <c r="B20" s="72"/>
      <c r="C20" s="97" t="s">
        <v>122</v>
      </c>
      <c r="D20" s="87">
        <f>COUNT(Q20:EC20)</f>
        <v>4</v>
      </c>
      <c r="E20" s="114">
        <f>AVERAGE(Q20:EC20)</f>
        <v>3.7</v>
      </c>
      <c r="F20" s="114">
        <f>CONFIDENCE(0.05,G20,D20)</f>
        <v>7.251866742798201</v>
      </c>
      <c r="G20" s="114">
        <f>STDEV(Q20:EC20)</f>
        <v>7.400000000000001</v>
      </c>
      <c r="H20" s="114">
        <f>QUARTILE(Q20:EC20,2)</f>
        <v>0</v>
      </c>
      <c r="I20" s="114">
        <f>MIN(Q20:EC20)</f>
        <v>0</v>
      </c>
      <c r="J20" s="114">
        <f>MAX(Q20:EC20)</f>
        <v>14.8</v>
      </c>
      <c r="K20" s="114">
        <f>PERCENTILE(Q20:EC20,0.95)</f>
        <v>12.579999999999995</v>
      </c>
      <c r="L20" s="105"/>
      <c r="N20" s="116" t="s">
        <v>97</v>
      </c>
      <c r="O20" s="108"/>
      <c r="P20" t="s">
        <v>97</v>
      </c>
      <c r="X20">
        <v>14.8</v>
      </c>
      <c r="AB20">
        <v>0</v>
      </c>
      <c r="AF20">
        <v>0</v>
      </c>
      <c r="AJ20">
        <v>0</v>
      </c>
    </row>
    <row r="21" spans="2:15" ht="12.75">
      <c r="B21" s="80"/>
      <c r="C21" s="89"/>
      <c r="D21" s="89"/>
      <c r="E21" s="89"/>
      <c r="F21" s="89"/>
      <c r="G21" s="89"/>
      <c r="H21" s="89"/>
      <c r="I21" s="89"/>
      <c r="J21" s="89"/>
      <c r="K21" s="89"/>
      <c r="L21" s="100"/>
      <c r="O21" s="108"/>
    </row>
    <row r="22" spans="2:15" ht="12.75">
      <c r="B22" s="210" t="s">
        <v>119</v>
      </c>
      <c r="C22" s="211"/>
      <c r="D22" s="211"/>
      <c r="E22" s="211"/>
      <c r="F22" s="211"/>
      <c r="G22" s="76" t="str">
        <f>'Combined Score Calcs'!AF10</f>
        <v>A</v>
      </c>
      <c r="H22" s="39"/>
      <c r="I22" s="39"/>
      <c r="J22" s="39"/>
      <c r="K22" s="99"/>
      <c r="L22" s="90"/>
      <c r="N22" s="111"/>
      <c r="O22" s="108"/>
    </row>
    <row r="23" spans="2:17" ht="13.5" thickBot="1">
      <c r="B23" s="83"/>
      <c r="C23" s="84"/>
      <c r="D23" s="84"/>
      <c r="E23" s="84"/>
      <c r="F23" s="84"/>
      <c r="G23" s="84"/>
      <c r="H23" s="84"/>
      <c r="I23" s="84"/>
      <c r="J23" s="84"/>
      <c r="K23" s="84"/>
      <c r="L23" s="91"/>
      <c r="N23" s="111"/>
      <c r="O23" s="108"/>
      <c r="Q23" s="20"/>
    </row>
    <row r="24" spans="12:17" ht="12.75">
      <c r="L24" s="60"/>
      <c r="N24" s="111"/>
      <c r="O24" s="108"/>
      <c r="Q24" s="20"/>
    </row>
    <row r="25" spans="12:15" ht="12.75">
      <c r="L25" s="60"/>
      <c r="O25" s="108"/>
    </row>
    <row r="26" spans="12:15" ht="12.75">
      <c r="L26" s="60"/>
      <c r="O26" s="108"/>
    </row>
    <row r="27" spans="12:15" ht="12.75">
      <c r="L27" s="60"/>
      <c r="O27" s="108"/>
    </row>
    <row r="28" spans="7:15" ht="12.75">
      <c r="G28" t="s">
        <v>140</v>
      </c>
      <c r="H28" t="s">
        <v>141</v>
      </c>
      <c r="L28" s="60"/>
      <c r="O28" s="108"/>
    </row>
    <row r="29" spans="5:15" ht="12.75">
      <c r="E29" s="158"/>
      <c r="F29" s="153"/>
      <c r="G29" s="118" t="s">
        <v>21</v>
      </c>
      <c r="H29" s="136">
        <v>1.5</v>
      </c>
      <c r="I29" s="137">
        <v>10</v>
      </c>
      <c r="J29" s="119"/>
      <c r="K29" s="119"/>
      <c r="L29" s="60"/>
      <c r="O29" s="108"/>
    </row>
    <row r="30" spans="5:12" ht="12.75">
      <c r="E30" s="158"/>
      <c r="F30" s="153"/>
      <c r="G30" s="122" t="s">
        <v>22</v>
      </c>
      <c r="H30" s="137">
        <v>65</v>
      </c>
      <c r="I30" s="137">
        <v>270</v>
      </c>
      <c r="J30" s="119"/>
      <c r="K30" s="119"/>
      <c r="L30" s="60"/>
    </row>
    <row r="31" spans="5:12" ht="12.75">
      <c r="E31" s="158"/>
      <c r="F31" s="153"/>
      <c r="G31" s="122" t="s">
        <v>23</v>
      </c>
      <c r="H31" s="137">
        <v>50</v>
      </c>
      <c r="I31" s="137">
        <v>220</v>
      </c>
      <c r="J31" s="119"/>
      <c r="K31" s="119"/>
      <c r="L31" s="60"/>
    </row>
    <row r="32" spans="5:12" ht="12.75">
      <c r="E32" s="158"/>
      <c r="F32" s="153"/>
      <c r="G32" s="122" t="s">
        <v>24</v>
      </c>
      <c r="H32" s="137">
        <v>200</v>
      </c>
      <c r="I32" s="137">
        <v>210</v>
      </c>
      <c r="J32" s="119"/>
      <c r="K32" s="119"/>
      <c r="L32" s="60"/>
    </row>
    <row r="33" spans="7:12" ht="12.75">
      <c r="G33" s="122"/>
      <c r="H33" t="s">
        <v>137</v>
      </c>
      <c r="I33" t="s">
        <v>138</v>
      </c>
      <c r="L33" s="60"/>
    </row>
    <row r="34" ht="12.75">
      <c r="L34" s="60"/>
    </row>
    <row r="35" ht="12.75">
      <c r="L35" s="60"/>
    </row>
    <row r="36" spans="5:12" ht="12.75">
      <c r="E36" s="158"/>
      <c r="F36" s="153"/>
      <c r="G36" s="119"/>
      <c r="H36" s="119"/>
      <c r="I36" s="119"/>
      <c r="J36" s="119"/>
      <c r="K36" s="119"/>
      <c r="L36" s="60"/>
    </row>
    <row r="37" spans="5:12" ht="12.75">
      <c r="E37" s="158"/>
      <c r="F37" s="153"/>
      <c r="G37" s="119"/>
      <c r="H37" s="119"/>
      <c r="I37" s="119"/>
      <c r="J37" s="119"/>
      <c r="K37" s="119"/>
      <c r="L37" s="60"/>
    </row>
    <row r="38" spans="5:12" ht="12.75">
      <c r="E38" s="158"/>
      <c r="F38" s="153"/>
      <c r="G38" s="119"/>
      <c r="H38" s="119"/>
      <c r="I38" s="119"/>
      <c r="J38" s="119"/>
      <c r="K38" s="119"/>
      <c r="L38" s="60"/>
    </row>
    <row r="39" spans="5:12" ht="12.75">
      <c r="E39" s="158"/>
      <c r="F39" s="153"/>
      <c r="G39" s="119"/>
      <c r="H39" s="119"/>
      <c r="I39" s="119"/>
      <c r="J39" s="119"/>
      <c r="K39" s="119"/>
      <c r="L39" s="60"/>
    </row>
    <row r="40" spans="5:12" ht="12.75">
      <c r="E40" s="158"/>
      <c r="F40" s="153"/>
      <c r="G40" s="119"/>
      <c r="H40" s="119"/>
      <c r="I40" s="119"/>
      <c r="J40" s="119"/>
      <c r="K40" s="119"/>
      <c r="L40" s="60"/>
    </row>
    <row r="41" spans="5:12" ht="12.75">
      <c r="E41" s="158"/>
      <c r="F41" s="153"/>
      <c r="G41" s="119"/>
      <c r="H41" s="119"/>
      <c r="I41" s="119"/>
      <c r="J41" s="119"/>
      <c r="K41" s="119"/>
      <c r="L41" s="60"/>
    </row>
    <row r="42" ht="12.75">
      <c r="L42" s="60"/>
    </row>
  </sheetData>
  <mergeCells count="1">
    <mergeCell ref="B22:F22"/>
  </mergeCells>
  <printOptions/>
  <pageMargins left="0.75" right="0.75" top="1" bottom="1" header="0.5" footer="0.5"/>
  <pageSetup horizontalDpi="600" verticalDpi="600" orientation="portrait" paperSize="133" r:id="rId1"/>
</worksheet>
</file>

<file path=xl/worksheets/sheet10.xml><?xml version="1.0" encoding="utf-8"?>
<worksheet xmlns="http://schemas.openxmlformats.org/spreadsheetml/2006/main" xmlns:r="http://schemas.openxmlformats.org/officeDocument/2006/relationships">
  <dimension ref="B1:AQ42"/>
  <sheetViews>
    <sheetView workbookViewId="0" topLeftCell="A1">
      <selection activeCell="B3" sqref="B3:L23"/>
    </sheetView>
  </sheetViews>
  <sheetFormatPr defaultColWidth="9.140625" defaultRowHeight="12.75"/>
  <cols>
    <col min="3" max="3" width="28.7109375" style="0" bestFit="1" customWidth="1"/>
    <col min="14" max="14" width="34.140625" style="0" customWidth="1"/>
    <col min="16" max="16" width="33.57421875" style="0" customWidth="1"/>
    <col min="17" max="17" width="14.421875" style="0" bestFit="1" customWidth="1"/>
  </cols>
  <sheetData>
    <row r="1" spans="2:15" ht="15.75">
      <c r="B1" s="107" t="s">
        <v>156</v>
      </c>
      <c r="O1" s="109" t="s">
        <v>125</v>
      </c>
    </row>
    <row r="2" spans="12:39" ht="13.5" thickBot="1">
      <c r="L2" s="60"/>
      <c r="N2" s="116" t="s">
        <v>84</v>
      </c>
      <c r="O2" s="110"/>
      <c r="P2" t="s">
        <v>84</v>
      </c>
      <c r="Q2" t="s">
        <v>61</v>
      </c>
      <c r="R2" t="s">
        <v>61</v>
      </c>
      <c r="S2" t="s">
        <v>61</v>
      </c>
      <c r="T2" t="s">
        <v>61</v>
      </c>
      <c r="U2" t="s">
        <v>61</v>
      </c>
      <c r="V2" t="s">
        <v>61</v>
      </c>
      <c r="W2" t="s">
        <v>61</v>
      </c>
      <c r="X2" t="s">
        <v>61</v>
      </c>
      <c r="Y2" t="s">
        <v>61</v>
      </c>
      <c r="Z2" t="s">
        <v>61</v>
      </c>
      <c r="AA2" t="s">
        <v>61</v>
      </c>
      <c r="AB2" t="s">
        <v>61</v>
      </c>
      <c r="AC2" t="s">
        <v>61</v>
      </c>
      <c r="AD2" t="s">
        <v>61</v>
      </c>
      <c r="AE2" t="s">
        <v>61</v>
      </c>
      <c r="AF2" t="s">
        <v>61</v>
      </c>
      <c r="AG2" t="s">
        <v>61</v>
      </c>
      <c r="AH2" t="s">
        <v>61</v>
      </c>
      <c r="AI2" t="s">
        <v>61</v>
      </c>
      <c r="AJ2" t="s">
        <v>61</v>
      </c>
      <c r="AK2" t="s">
        <v>61</v>
      </c>
      <c r="AL2" t="s">
        <v>61</v>
      </c>
      <c r="AM2" t="s">
        <v>61</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36833.461805555555</v>
      </c>
      <c r="R3" s="64">
        <v>36922.381944444445</v>
      </c>
      <c r="S3" s="64">
        <v>37013.381944444445</v>
      </c>
      <c r="T3" s="64">
        <v>37112.55902777778</v>
      </c>
      <c r="U3" s="64">
        <v>37222.68402777778</v>
      </c>
      <c r="V3" s="64">
        <v>37384.61111111111</v>
      </c>
      <c r="W3" s="64">
        <v>37475.5</v>
      </c>
      <c r="X3" s="64">
        <v>37586.59375</v>
      </c>
      <c r="Y3" s="64">
        <v>37649.663194444445</v>
      </c>
      <c r="Z3" s="64">
        <v>37747.61111111111</v>
      </c>
      <c r="AA3" s="64">
        <v>37837.666666666664</v>
      </c>
      <c r="AB3" s="64">
        <v>37950.572916666664</v>
      </c>
      <c r="AC3" s="64">
        <v>38027.65625</v>
      </c>
      <c r="AD3" s="64">
        <v>38111.70138888889</v>
      </c>
      <c r="AE3" s="64">
        <v>38202.60208333333</v>
      </c>
      <c r="AF3" s="64">
        <v>38336.635416666664</v>
      </c>
      <c r="AG3" s="64">
        <v>38393.59027777778</v>
      </c>
      <c r="AH3" s="64">
        <v>38477.71527777778</v>
      </c>
      <c r="AI3" s="64">
        <v>38594.513194444444</v>
      </c>
      <c r="AJ3" s="64">
        <v>38681.381944444445</v>
      </c>
      <c r="AK3" s="64">
        <v>38777.489583333336</v>
      </c>
      <c r="AL3" s="64">
        <v>38870.489583333336</v>
      </c>
      <c r="AM3" s="64">
        <v>38960.625</v>
      </c>
      <c r="AO3" s="64"/>
      <c r="AP3" s="64"/>
      <c r="AQ3" s="64"/>
    </row>
    <row r="4" spans="2:39" ht="12.75">
      <c r="B4" s="68" t="s">
        <v>103</v>
      </c>
      <c r="C4" s="93" t="s">
        <v>4</v>
      </c>
      <c r="D4" s="81">
        <f>COUNT(Q4:EC4)</f>
        <v>20</v>
      </c>
      <c r="E4" s="82">
        <f>AVERAGE(Q4:EC4)</f>
        <v>0.15694999999999998</v>
      </c>
      <c r="F4" s="82">
        <f aca="true" t="shared" si="0" ref="F4:F15">CONFIDENCE(0.05,G4,D4)</f>
        <v>0.07410108382299761</v>
      </c>
      <c r="G4" s="82">
        <f>STDEV(Q4:EC4)</f>
        <v>0.16907969936347214</v>
      </c>
      <c r="H4" s="82">
        <f>QUARTILE(Q4:EC4,2)</f>
        <v>0.095</v>
      </c>
      <c r="I4" s="82">
        <f>MIN(Q4:EC4)</f>
        <v>0.015</v>
      </c>
      <c r="J4" s="82">
        <f>MAX(Q4:EC4)</f>
        <v>0.54</v>
      </c>
      <c r="K4" s="82">
        <f>PERCENTILE(Q4:EC4,0.95)</f>
        <v>0.5305000000000001</v>
      </c>
      <c r="L4" s="102" t="str">
        <f>IF((H4+H5)&lt;0.08,"A",IF((H4+H5)&lt;0.12,"B",IF((H4+H5)&lt;0.295,"C",IF((H4+H5)&lt;0.444,"D","E"))))</f>
        <v>B</v>
      </c>
      <c r="N4" s="116" t="s">
        <v>86</v>
      </c>
      <c r="O4" s="108"/>
      <c r="P4" t="s">
        <v>86</v>
      </c>
      <c r="R4">
        <v>0.09</v>
      </c>
      <c r="S4">
        <v>0.1</v>
      </c>
      <c r="V4">
        <v>0.023</v>
      </c>
      <c r="W4">
        <v>0.15</v>
      </c>
      <c r="X4">
        <v>0.033</v>
      </c>
      <c r="Y4">
        <v>0.032</v>
      </c>
      <c r="Z4">
        <v>0.11</v>
      </c>
      <c r="AA4">
        <v>0.12</v>
      </c>
      <c r="AB4">
        <v>0.069</v>
      </c>
      <c r="AC4">
        <v>0.19</v>
      </c>
      <c r="AD4">
        <v>0.54</v>
      </c>
      <c r="AE4">
        <v>0.43</v>
      </c>
      <c r="AF4">
        <v>0.035</v>
      </c>
      <c r="AG4">
        <v>0.046</v>
      </c>
      <c r="AH4">
        <v>0.015</v>
      </c>
      <c r="AI4">
        <v>0.28</v>
      </c>
      <c r="AJ4">
        <v>0.038</v>
      </c>
      <c r="AK4">
        <v>0.018</v>
      </c>
      <c r="AL4">
        <v>0.53</v>
      </c>
      <c r="AM4">
        <v>0.29</v>
      </c>
    </row>
    <row r="5" spans="2:39" ht="12.75">
      <c r="B5" s="69"/>
      <c r="C5" s="5" t="s">
        <v>5</v>
      </c>
      <c r="D5" s="73">
        <f>COUNT(Q5:EC5)</f>
        <v>18</v>
      </c>
      <c r="E5" s="112">
        <f>AVERAGE(Q5:EC5)</f>
        <v>0.005777777777777778</v>
      </c>
      <c r="F5" s="112">
        <f t="shared" si="0"/>
        <v>0.0007525392215889532</v>
      </c>
      <c r="G5" s="112">
        <f>STDEV(Q5:EC5)</f>
        <v>0.0016289858106324406</v>
      </c>
      <c r="H5" s="112">
        <f>QUARTILE(Q5:EC5,2)</f>
        <v>0.005</v>
      </c>
      <c r="I5" s="112">
        <f>MIN(Q5:EC5)</f>
        <v>0.005</v>
      </c>
      <c r="J5" s="112">
        <f>MAX(Q5:EC5)</f>
        <v>0.01</v>
      </c>
      <c r="K5" s="112">
        <f>PERCENTILE(Q5:EC5,0.95)</f>
        <v>0.01</v>
      </c>
      <c r="L5" s="102"/>
      <c r="N5" s="116" t="s">
        <v>87</v>
      </c>
      <c r="O5" s="108"/>
      <c r="P5" t="s">
        <v>87</v>
      </c>
      <c r="V5">
        <v>0.005</v>
      </c>
      <c r="W5">
        <v>0.005</v>
      </c>
      <c r="X5">
        <v>0.01</v>
      </c>
      <c r="Y5">
        <v>0.006</v>
      </c>
      <c r="Z5">
        <v>0.006</v>
      </c>
      <c r="AA5">
        <v>0.005</v>
      </c>
      <c r="AB5">
        <v>0.007</v>
      </c>
      <c r="AC5">
        <v>0.005</v>
      </c>
      <c r="AD5">
        <v>0.005</v>
      </c>
      <c r="AE5">
        <v>0.005</v>
      </c>
      <c r="AF5">
        <v>0.005</v>
      </c>
      <c r="AG5">
        <v>0.01</v>
      </c>
      <c r="AH5">
        <v>0.005</v>
      </c>
      <c r="AI5">
        <v>0.005</v>
      </c>
      <c r="AJ5">
        <v>0.005</v>
      </c>
      <c r="AK5">
        <v>0.005</v>
      </c>
      <c r="AL5">
        <v>0.005</v>
      </c>
      <c r="AM5">
        <v>0.005</v>
      </c>
    </row>
    <row r="6" spans="2:39" ht="12.75">
      <c r="B6" s="70"/>
      <c r="C6" s="94" t="s">
        <v>6</v>
      </c>
      <c r="D6" s="73">
        <f>COUNT(Q6:EC6)</f>
        <v>23</v>
      </c>
      <c r="E6" s="112">
        <f>AVERAGE(Q6:EC6)</f>
        <v>0.006956521739130435</v>
      </c>
      <c r="F6" s="112">
        <f t="shared" si="0"/>
        <v>0.0011190708362269499</v>
      </c>
      <c r="G6" s="112">
        <f>STDEV(Q6:EC6)</f>
        <v>0.0027382519452042787</v>
      </c>
      <c r="H6" s="112">
        <f>QUARTILE(Q6:EC6,2)</f>
        <v>0.007</v>
      </c>
      <c r="I6" s="112">
        <f>MIN(Q6:EC6)</f>
        <v>0.002</v>
      </c>
      <c r="J6" s="112">
        <f>MAX(Q6:EC6)</f>
        <v>0.014</v>
      </c>
      <c r="K6" s="112">
        <f>PERCENTILE(Q6:EC6,0.95)</f>
        <v>0.010899999999999998</v>
      </c>
      <c r="L6" s="102" t="str">
        <f>IF((H6)&lt;0.005,"A",IF((H6)&lt;0.008,"B",IF((H6)&lt;0.026,"C",IF((H6)&lt;0.05,"D","E"))))</f>
        <v>B</v>
      </c>
      <c r="N6" s="116" t="s">
        <v>88</v>
      </c>
      <c r="O6" s="108"/>
      <c r="P6" t="s">
        <v>88</v>
      </c>
      <c r="Q6">
        <v>0.007</v>
      </c>
      <c r="R6">
        <v>0.007</v>
      </c>
      <c r="S6">
        <v>0.007</v>
      </c>
      <c r="T6">
        <v>0.014</v>
      </c>
      <c r="U6">
        <v>0.011</v>
      </c>
      <c r="V6">
        <v>0.005</v>
      </c>
      <c r="W6">
        <v>0.005</v>
      </c>
      <c r="X6">
        <v>0.005</v>
      </c>
      <c r="Y6">
        <v>0.007</v>
      </c>
      <c r="Z6">
        <v>0.006</v>
      </c>
      <c r="AA6">
        <v>0.007</v>
      </c>
      <c r="AB6">
        <v>0.008</v>
      </c>
      <c r="AC6">
        <v>0.009</v>
      </c>
      <c r="AD6">
        <v>0.01</v>
      </c>
      <c r="AE6">
        <v>0.01</v>
      </c>
      <c r="AF6">
        <v>0.005</v>
      </c>
      <c r="AG6">
        <v>0.009</v>
      </c>
      <c r="AH6">
        <v>0.002</v>
      </c>
      <c r="AI6">
        <v>0.005</v>
      </c>
      <c r="AJ6">
        <v>0.006</v>
      </c>
      <c r="AK6">
        <v>0.003</v>
      </c>
      <c r="AL6">
        <v>0.008</v>
      </c>
      <c r="AM6">
        <v>0.004</v>
      </c>
    </row>
    <row r="7" spans="2:39" ht="12.75">
      <c r="B7" s="71" t="s">
        <v>104</v>
      </c>
      <c r="C7" s="6" t="s">
        <v>7</v>
      </c>
      <c r="D7" s="86">
        <f>COUNT(Q7:EC7)</f>
        <v>23</v>
      </c>
      <c r="E7" s="113">
        <f>AVERAGE(Q7:EC7)</f>
        <v>8.104347826086956</v>
      </c>
      <c r="F7" s="113">
        <f t="shared" si="0"/>
        <v>0.19722363862354672</v>
      </c>
      <c r="G7" s="113">
        <f>STDEV(Q7:EC7)</f>
        <v>0.4825860835780637</v>
      </c>
      <c r="H7" s="113">
        <f>QUARTILE(Q7:EC7,2)</f>
        <v>8.15</v>
      </c>
      <c r="I7" s="113">
        <f>MIN(Q7:EC7)</f>
        <v>7.26</v>
      </c>
      <c r="J7" s="113">
        <f>MAX(Q7:EC7)</f>
        <v>9.09</v>
      </c>
      <c r="K7" s="113">
        <f>PERCENTILE(Q7:EC7,0.95)</f>
        <v>8.85</v>
      </c>
      <c r="L7" s="103" t="str">
        <f>IF(AND(7.2&lt;H7,H7&lt;9),"A",IF(AND(7.2&lt;=H7,H7&lt;=9),"B",IF(AND(6.5&lt;=H7,H7&lt;=9),"C",IF(AND(6.5&lt;=H7,H7&lt;=10),"D","E"))))</f>
        <v>A</v>
      </c>
      <c r="N7" s="116" t="s">
        <v>89</v>
      </c>
      <c r="O7" s="108"/>
      <c r="P7" t="s">
        <v>89</v>
      </c>
      <c r="Q7">
        <v>8.16</v>
      </c>
      <c r="R7">
        <v>7.69</v>
      </c>
      <c r="S7">
        <v>8.35</v>
      </c>
      <c r="T7">
        <v>7.83</v>
      </c>
      <c r="U7">
        <v>8.67</v>
      </c>
      <c r="V7">
        <v>8.66</v>
      </c>
      <c r="W7">
        <v>8.87</v>
      </c>
      <c r="X7">
        <v>8.52</v>
      </c>
      <c r="Y7">
        <v>8.3</v>
      </c>
      <c r="Z7">
        <v>8.23</v>
      </c>
      <c r="AA7">
        <v>8.51</v>
      </c>
      <c r="AB7">
        <v>7.95</v>
      </c>
      <c r="AC7">
        <v>7.7</v>
      </c>
      <c r="AD7">
        <v>7.26</v>
      </c>
      <c r="AE7">
        <v>7.63</v>
      </c>
      <c r="AF7">
        <v>8.15</v>
      </c>
      <c r="AG7">
        <v>7.78</v>
      </c>
      <c r="AH7">
        <v>8.04</v>
      </c>
      <c r="AI7">
        <v>8.19</v>
      </c>
      <c r="AJ7">
        <v>7.32</v>
      </c>
      <c r="AK7">
        <v>7.5</v>
      </c>
      <c r="AL7">
        <v>8</v>
      </c>
      <c r="AM7">
        <v>9.09</v>
      </c>
    </row>
    <row r="8" spans="2:39" ht="12.75">
      <c r="B8" s="71"/>
      <c r="C8" s="6" t="s">
        <v>8</v>
      </c>
      <c r="D8" s="81">
        <f>COUNT(Q8:EC8)</f>
        <v>23</v>
      </c>
      <c r="E8" s="44">
        <f>AVERAGE(Q8:EC8)</f>
        <v>13.782608695652176</v>
      </c>
      <c r="F8" s="44">
        <f t="shared" si="0"/>
        <v>1.5335284589733935</v>
      </c>
      <c r="G8" s="44">
        <f>STDEV(Q8:EC8)</f>
        <v>3.752387382346555</v>
      </c>
      <c r="H8" s="44">
        <f>QUARTILE(Q8:EC8,2)</f>
        <v>12.9</v>
      </c>
      <c r="I8" s="44">
        <f>MIN(Q8:EC8)</f>
        <v>7.8</v>
      </c>
      <c r="J8" s="44">
        <f>MAX(Q8:EC8)</f>
        <v>21</v>
      </c>
      <c r="K8" s="44">
        <f>PERCENTILE(Q8:EC8,0.95)</f>
        <v>19.66</v>
      </c>
      <c r="L8" s="102" t="str">
        <f>IF(H8&lt;18,"A",IF(H8&lt;20,"B",IF(H8&lt;22,"C",IF(H8&lt;25,"D","E"))))</f>
        <v>A</v>
      </c>
      <c r="N8" s="116" t="s">
        <v>90</v>
      </c>
      <c r="O8" s="108"/>
      <c r="P8" t="s">
        <v>90</v>
      </c>
      <c r="Q8">
        <v>12.8</v>
      </c>
      <c r="R8">
        <v>17</v>
      </c>
      <c r="S8">
        <v>11.9</v>
      </c>
      <c r="T8">
        <v>10.9</v>
      </c>
      <c r="U8">
        <v>13.6</v>
      </c>
      <c r="V8">
        <v>13.66</v>
      </c>
      <c r="W8">
        <v>9.3</v>
      </c>
      <c r="X8">
        <v>18.6</v>
      </c>
      <c r="Y8">
        <v>19.3</v>
      </c>
      <c r="Z8">
        <v>12.1</v>
      </c>
      <c r="AA8">
        <v>10.3</v>
      </c>
      <c r="AB8">
        <v>16.6</v>
      </c>
      <c r="AC8">
        <v>19.7</v>
      </c>
      <c r="AD8">
        <v>12.1</v>
      </c>
      <c r="AE8">
        <v>7.8</v>
      </c>
      <c r="AF8">
        <v>16.8</v>
      </c>
      <c r="AG8">
        <v>21</v>
      </c>
      <c r="AH8">
        <v>14</v>
      </c>
      <c r="AI8">
        <v>9.88</v>
      </c>
      <c r="AJ8">
        <v>12.9</v>
      </c>
      <c r="AK8">
        <v>16.54</v>
      </c>
      <c r="AL8">
        <v>8.62</v>
      </c>
      <c r="AM8">
        <v>11.6</v>
      </c>
    </row>
    <row r="9" spans="2:39" ht="12.75">
      <c r="B9" s="71"/>
      <c r="C9" s="7" t="s">
        <v>9</v>
      </c>
      <c r="D9" s="81">
        <f>COUNT(Q9:EC9)</f>
        <v>23</v>
      </c>
      <c r="E9" s="44">
        <f>AVERAGE(Q9:EC9)</f>
        <v>108.60434782608694</v>
      </c>
      <c r="F9" s="44">
        <f t="shared" si="0"/>
        <v>5.916504414705666</v>
      </c>
      <c r="G9" s="44">
        <f>STDEV(Q9:EC9)</f>
        <v>14.477081519700972</v>
      </c>
      <c r="H9" s="44">
        <f>QUARTILE(Q9:EC9,2)</f>
        <v>107.2</v>
      </c>
      <c r="I9" s="44">
        <f>MIN(Q9:EC9)</f>
        <v>77.1</v>
      </c>
      <c r="J9" s="44">
        <f>MAX(Q9:EC9)</f>
        <v>139.4</v>
      </c>
      <c r="K9" s="44">
        <f>PERCENTILE(Q9:EC9,0.95)</f>
        <v>129.7</v>
      </c>
      <c r="L9" s="104" t="str">
        <f>IF(AND(99&lt;=H9,H9&lt;=103),"A",IF(AND(98&lt;=H9,H9&lt;=105),"B",IF(H9&gt;90,"C",IF(H9&gt;80,"D","E"))))</f>
        <v>C</v>
      </c>
      <c r="N9" s="116" t="s">
        <v>91</v>
      </c>
      <c r="O9" s="108"/>
      <c r="P9" t="s">
        <v>91</v>
      </c>
      <c r="Q9">
        <v>105.2</v>
      </c>
      <c r="R9">
        <v>77.1</v>
      </c>
      <c r="S9">
        <v>83.2</v>
      </c>
      <c r="T9">
        <v>104.5</v>
      </c>
      <c r="U9">
        <v>98.3</v>
      </c>
      <c r="V9">
        <v>122.6</v>
      </c>
      <c r="W9">
        <v>139.4</v>
      </c>
      <c r="X9">
        <v>118.8</v>
      </c>
      <c r="Y9">
        <v>130.2</v>
      </c>
      <c r="Z9">
        <v>108</v>
      </c>
      <c r="AA9">
        <v>125.2</v>
      </c>
      <c r="AB9">
        <v>107.2</v>
      </c>
      <c r="AC9">
        <v>104.1</v>
      </c>
      <c r="AD9">
        <v>97.1</v>
      </c>
      <c r="AE9">
        <v>98.2</v>
      </c>
      <c r="AF9">
        <v>111.4</v>
      </c>
      <c r="AG9">
        <v>111.3</v>
      </c>
      <c r="AH9">
        <v>105.8</v>
      </c>
      <c r="AI9">
        <v>123.7</v>
      </c>
      <c r="AJ9">
        <v>96.5</v>
      </c>
      <c r="AK9">
        <v>108.6</v>
      </c>
      <c r="AL9">
        <v>101.3</v>
      </c>
      <c r="AM9">
        <v>120.2</v>
      </c>
    </row>
    <row r="10" spans="2:39" ht="12.75">
      <c r="B10" s="71"/>
      <c r="C10" s="6" t="s">
        <v>10</v>
      </c>
      <c r="D10" s="81">
        <f>COUNT(Q10:EC10)</f>
        <v>23</v>
      </c>
      <c r="E10" s="44">
        <f>AVERAGE(Q10:EC10)</f>
        <v>11.326086956521737</v>
      </c>
      <c r="F10" s="44">
        <f t="shared" si="0"/>
        <v>0.7420042023720483</v>
      </c>
      <c r="G10" s="44">
        <f>STDEV(Q10:EC10)</f>
        <v>1.815608435785345</v>
      </c>
      <c r="H10" s="44">
        <f>QUARTILE(Q10:EC10,2)</f>
        <v>11.09</v>
      </c>
      <c r="I10" s="44">
        <f>MIN(Q10:EC10)</f>
        <v>7.43</v>
      </c>
      <c r="J10" s="44">
        <f>MAX(Q10:EC10)</f>
        <v>15.99</v>
      </c>
      <c r="K10" s="44">
        <f>PERCENTILE(Q10:EC10,0.95)</f>
        <v>14.036</v>
      </c>
      <c r="L10" s="102"/>
      <c r="N10" s="116" t="s">
        <v>92</v>
      </c>
      <c r="O10" s="108"/>
      <c r="P10" t="s">
        <v>92</v>
      </c>
      <c r="Q10">
        <v>11.09</v>
      </c>
      <c r="R10">
        <v>7.43</v>
      </c>
      <c r="S10">
        <v>9.18</v>
      </c>
      <c r="T10">
        <v>11.78</v>
      </c>
      <c r="U10">
        <v>10.18</v>
      </c>
      <c r="V10">
        <v>12.72</v>
      </c>
      <c r="W10">
        <v>15.99</v>
      </c>
      <c r="X10">
        <v>11.1</v>
      </c>
      <c r="Y10">
        <v>11.98</v>
      </c>
      <c r="Z10">
        <v>11.61</v>
      </c>
      <c r="AA10">
        <v>14.04</v>
      </c>
      <c r="AB10">
        <v>10.45</v>
      </c>
      <c r="AC10">
        <v>9.53</v>
      </c>
      <c r="AD10">
        <v>10.44</v>
      </c>
      <c r="AE10">
        <v>11.68</v>
      </c>
      <c r="AF10">
        <v>10.82</v>
      </c>
      <c r="AG10">
        <v>9.92</v>
      </c>
      <c r="AH10">
        <v>10.91</v>
      </c>
      <c r="AI10">
        <v>14</v>
      </c>
      <c r="AJ10">
        <v>10.18</v>
      </c>
      <c r="AK10">
        <v>10.6</v>
      </c>
      <c r="AL10">
        <v>11.81</v>
      </c>
      <c r="AM10">
        <v>13.06</v>
      </c>
    </row>
    <row r="11" spans="2:39" ht="12.75">
      <c r="B11" s="72"/>
      <c r="C11" s="95" t="s">
        <v>11</v>
      </c>
      <c r="D11" s="87">
        <f>COUNT(Q11:EC11)</f>
        <v>23</v>
      </c>
      <c r="E11" s="115">
        <f>AVERAGE(Q11:EC11)</f>
        <v>203.10434782608695</v>
      </c>
      <c r="F11" s="115">
        <f t="shared" si="0"/>
        <v>10.793508570090253</v>
      </c>
      <c r="G11" s="115">
        <f>STDEV(Q11:EC11)</f>
        <v>26.410612162208828</v>
      </c>
      <c r="H11" s="115">
        <f>QUARTILE(Q11:EC11,2)</f>
        <v>210</v>
      </c>
      <c r="I11" s="115">
        <f>MIN(Q11:EC11)</f>
        <v>137</v>
      </c>
      <c r="J11" s="115">
        <f>MAX(Q11:EC11)</f>
        <v>242</v>
      </c>
      <c r="K11" s="115">
        <f>PERCENTILE(Q11:EC11,0.95)</f>
        <v>237.51</v>
      </c>
      <c r="L11" s="105"/>
      <c r="N11" s="116" t="s">
        <v>93</v>
      </c>
      <c r="O11" s="108"/>
      <c r="P11" t="s">
        <v>93</v>
      </c>
      <c r="Q11">
        <v>218.2</v>
      </c>
      <c r="R11">
        <v>233.1</v>
      </c>
      <c r="S11">
        <v>242</v>
      </c>
      <c r="T11">
        <v>156.2</v>
      </c>
      <c r="U11">
        <v>170.9</v>
      </c>
      <c r="V11">
        <v>214</v>
      </c>
      <c r="W11">
        <v>201</v>
      </c>
      <c r="X11">
        <v>212</v>
      </c>
      <c r="Y11">
        <v>226</v>
      </c>
      <c r="Z11">
        <v>213</v>
      </c>
      <c r="AA11">
        <v>196</v>
      </c>
      <c r="AB11">
        <v>210</v>
      </c>
      <c r="AC11">
        <v>202</v>
      </c>
      <c r="AD11">
        <v>137</v>
      </c>
      <c r="AE11">
        <v>169</v>
      </c>
      <c r="AF11">
        <v>206</v>
      </c>
      <c r="AG11">
        <v>216</v>
      </c>
      <c r="AH11">
        <v>216</v>
      </c>
      <c r="AI11">
        <v>183</v>
      </c>
      <c r="AJ11">
        <v>230</v>
      </c>
      <c r="AK11">
        <v>238</v>
      </c>
      <c r="AL11">
        <v>195</v>
      </c>
      <c r="AM11">
        <v>187</v>
      </c>
    </row>
    <row r="12" spans="2:39" ht="12.75">
      <c r="B12" s="68" t="s">
        <v>105</v>
      </c>
      <c r="C12" s="4" t="s">
        <v>12</v>
      </c>
      <c r="D12" s="81">
        <f>COUNT(Q12:EC12)</f>
        <v>23</v>
      </c>
      <c r="E12" s="82">
        <f>AVERAGE(Q12:EC12)</f>
        <v>1.9321739130434785</v>
      </c>
      <c r="F12" s="82">
        <f t="shared" si="0"/>
        <v>0.8801527273365808</v>
      </c>
      <c r="G12" s="82">
        <f>STDEV(Q12:EC12)</f>
        <v>2.1536437548779745</v>
      </c>
      <c r="H12" s="82">
        <f>QUARTILE(Q12:EC12,2)</f>
        <v>0.93</v>
      </c>
      <c r="I12" s="82">
        <f>MIN(Q12:EC12)</f>
        <v>0.5</v>
      </c>
      <c r="J12" s="82">
        <f>MAX(Q12:EC12)</f>
        <v>9.57</v>
      </c>
      <c r="K12" s="82">
        <f>PERCENTILE(Q12:EC12,0.95)</f>
        <v>5.623999999999998</v>
      </c>
      <c r="L12" s="102" t="str">
        <f>IF(H12&lt;1,"A",IF(H12&lt;2,"B",IF(H12&lt;3,"C",IF(H12&lt;5,"D","E"))))</f>
        <v>A</v>
      </c>
      <c r="N12" s="116" t="s">
        <v>94</v>
      </c>
      <c r="O12" s="108"/>
      <c r="P12" t="s">
        <v>94</v>
      </c>
      <c r="Q12">
        <v>1.05</v>
      </c>
      <c r="R12">
        <v>0.66</v>
      </c>
      <c r="S12">
        <v>0.68</v>
      </c>
      <c r="T12">
        <v>3.41</v>
      </c>
      <c r="U12">
        <v>4.22</v>
      </c>
      <c r="V12">
        <v>0.63</v>
      </c>
      <c r="W12">
        <v>0.76</v>
      </c>
      <c r="X12">
        <v>0.69</v>
      </c>
      <c r="Y12">
        <v>0.67</v>
      </c>
      <c r="Z12">
        <v>0.58</v>
      </c>
      <c r="AA12">
        <v>0.82</v>
      </c>
      <c r="AB12">
        <v>0.72</v>
      </c>
      <c r="AC12">
        <v>0.5</v>
      </c>
      <c r="AD12">
        <v>9.57</v>
      </c>
      <c r="AE12">
        <v>2.94</v>
      </c>
      <c r="AF12">
        <v>1.18</v>
      </c>
      <c r="AG12">
        <v>1.06</v>
      </c>
      <c r="AH12">
        <v>0.93</v>
      </c>
      <c r="AI12">
        <v>2.39</v>
      </c>
      <c r="AJ12">
        <v>0.9</v>
      </c>
      <c r="AK12">
        <v>5.78</v>
      </c>
      <c r="AL12">
        <v>2.09</v>
      </c>
      <c r="AM12">
        <v>2.21</v>
      </c>
    </row>
    <row r="13" spans="2:39" ht="12.75">
      <c r="B13" s="71"/>
      <c r="C13" s="6" t="s">
        <v>13</v>
      </c>
      <c r="D13" s="81">
        <f>COUNT(Q13:EC13)</f>
        <v>23</v>
      </c>
      <c r="E13" s="44">
        <f>AVERAGE(Q13:EC13)</f>
        <v>4.384782608695653</v>
      </c>
      <c r="F13" s="44">
        <f t="shared" si="0"/>
        <v>0.7974853715275034</v>
      </c>
      <c r="G13" s="44">
        <f>STDEV(Q13:EC13)</f>
        <v>1.9513651854423635</v>
      </c>
      <c r="H13" s="44">
        <f>QUARTILE(Q13:EC13,2)</f>
        <v>4.5</v>
      </c>
      <c r="I13" s="44">
        <f>MIN(Q13:EC13)</f>
        <v>1.15</v>
      </c>
      <c r="J13" s="44">
        <f>MAX(Q13:EC13)</f>
        <v>8.25</v>
      </c>
      <c r="K13" s="44">
        <f>PERCENTILE(Q13:EC13,0.95)</f>
        <v>7.789999999999999</v>
      </c>
      <c r="L13" s="102" t="str">
        <f>IF(H13&gt;6,"A",IF(H13&gt;4,"B",IF(H13&gt;2.5,"C",IF(H13&gt;0.6,"D","E"))))</f>
        <v>B</v>
      </c>
      <c r="N13" s="116" t="s">
        <v>13</v>
      </c>
      <c r="O13" s="108"/>
      <c r="P13" t="s">
        <v>13</v>
      </c>
      <c r="Q13">
        <v>4.9</v>
      </c>
      <c r="R13">
        <v>5.5</v>
      </c>
      <c r="S13">
        <v>7.9</v>
      </c>
      <c r="T13">
        <v>1.8</v>
      </c>
      <c r="U13">
        <v>3.9</v>
      </c>
      <c r="V13">
        <v>3.6</v>
      </c>
      <c r="W13">
        <v>4.7</v>
      </c>
      <c r="X13">
        <v>5.8</v>
      </c>
      <c r="Y13">
        <v>6.8</v>
      </c>
      <c r="Z13">
        <v>8.25</v>
      </c>
      <c r="AA13">
        <v>4.7</v>
      </c>
      <c r="AB13">
        <v>5.2</v>
      </c>
      <c r="AC13">
        <v>6.55</v>
      </c>
      <c r="AD13">
        <v>1.15</v>
      </c>
      <c r="AE13">
        <v>1.6</v>
      </c>
      <c r="AF13">
        <v>5.1</v>
      </c>
      <c r="AG13">
        <v>4.4</v>
      </c>
      <c r="AH13">
        <v>4</v>
      </c>
      <c r="AI13">
        <v>3.2</v>
      </c>
      <c r="AJ13">
        <v>4.5</v>
      </c>
      <c r="AK13">
        <v>1.2</v>
      </c>
      <c r="AL13">
        <v>2.9</v>
      </c>
      <c r="AM13">
        <v>3.2</v>
      </c>
    </row>
    <row r="14" spans="2:39" ht="12.75">
      <c r="B14" s="72"/>
      <c r="C14" s="95" t="s">
        <v>14</v>
      </c>
      <c r="D14" s="87">
        <f>COUNT(Q14:EC14)</f>
        <v>23</v>
      </c>
      <c r="E14" s="115">
        <f>AVERAGE(Q14:EC14)</f>
        <v>1.2434782608695654</v>
      </c>
      <c r="F14" s="115">
        <f t="shared" si="0"/>
        <v>0.39925145780404275</v>
      </c>
      <c r="G14" s="115">
        <f>STDEV(Q14:EC14)</f>
        <v>0.9769275058972677</v>
      </c>
      <c r="H14" s="115">
        <f>QUARTILE(Q14:EC14,2)</f>
        <v>1</v>
      </c>
      <c r="I14" s="115">
        <f>MIN(Q14:EC14)</f>
        <v>0.3</v>
      </c>
      <c r="J14" s="115">
        <f>MAX(Q14:EC14)</f>
        <v>5</v>
      </c>
      <c r="K14" s="115">
        <f>PERCENTILE(Q14:EC14,0.95)</f>
        <v>2</v>
      </c>
      <c r="L14" s="102"/>
      <c r="N14" s="116" t="s">
        <v>95</v>
      </c>
      <c r="O14" s="108"/>
      <c r="P14" t="s">
        <v>95</v>
      </c>
      <c r="Q14">
        <v>1</v>
      </c>
      <c r="R14">
        <v>1</v>
      </c>
      <c r="S14">
        <v>1</v>
      </c>
      <c r="T14">
        <v>2</v>
      </c>
      <c r="U14">
        <v>2</v>
      </c>
      <c r="V14">
        <v>0.3</v>
      </c>
      <c r="W14">
        <v>0.6</v>
      </c>
      <c r="X14">
        <v>0.7</v>
      </c>
      <c r="Y14">
        <v>0.7</v>
      </c>
      <c r="Z14">
        <v>0.8</v>
      </c>
      <c r="AA14">
        <v>0.6</v>
      </c>
      <c r="AB14">
        <v>1</v>
      </c>
      <c r="AC14">
        <v>0.7</v>
      </c>
      <c r="AD14">
        <v>5</v>
      </c>
      <c r="AE14">
        <v>2</v>
      </c>
      <c r="AF14">
        <v>1</v>
      </c>
      <c r="AG14">
        <v>0.8</v>
      </c>
      <c r="AH14">
        <v>0.6</v>
      </c>
      <c r="AI14">
        <v>1</v>
      </c>
      <c r="AJ14">
        <v>1</v>
      </c>
      <c r="AK14">
        <v>2</v>
      </c>
      <c r="AL14">
        <v>0.8</v>
      </c>
      <c r="AM14">
        <v>2</v>
      </c>
    </row>
    <row r="15" spans="2:39" ht="12.75">
      <c r="B15" s="208" t="s">
        <v>267</v>
      </c>
      <c r="C15" s="8" t="s">
        <v>268</v>
      </c>
      <c r="D15" s="81">
        <f>COUNT(Q15:EC15)</f>
        <v>23</v>
      </c>
      <c r="E15" s="40">
        <f>AVERAGE(Q15:EC15)</f>
        <v>157.6086956521739</v>
      </c>
      <c r="F15" s="40">
        <f t="shared" si="0"/>
        <v>91.84872798697899</v>
      </c>
      <c r="G15" s="40">
        <f>STDEV(Q15:EC15)</f>
        <v>224.74444863817192</v>
      </c>
      <c r="H15" s="40">
        <f>QUARTILE(Q15:EC15,2)</f>
        <v>75</v>
      </c>
      <c r="I15" s="40">
        <f>MIN(Q15:EC15)</f>
        <v>5</v>
      </c>
      <c r="J15" s="40">
        <f>MAX(Q15:EC15)</f>
        <v>1000</v>
      </c>
      <c r="K15" s="40">
        <f>PERCENTILE(Q15:EC15,0.95)</f>
        <v>457.29999999999984</v>
      </c>
      <c r="L15" s="106" t="str">
        <f>IF(H15&lt;10,"A",IF(H15&lt;130,"B",IF(H15&lt;260,"C",IF(H15&lt;550,"D","E"))))</f>
        <v>B</v>
      </c>
      <c r="N15" s="116" t="s">
        <v>255</v>
      </c>
      <c r="O15" s="108"/>
      <c r="P15" t="s">
        <v>255</v>
      </c>
      <c r="Q15">
        <v>140</v>
      </c>
      <c r="R15">
        <v>370</v>
      </c>
      <c r="S15">
        <v>200</v>
      </c>
      <c r="T15">
        <v>45</v>
      </c>
      <c r="U15">
        <v>160</v>
      </c>
      <c r="V15">
        <v>15</v>
      </c>
      <c r="W15">
        <v>5</v>
      </c>
      <c r="X15">
        <v>25</v>
      </c>
      <c r="Y15">
        <v>55</v>
      </c>
      <c r="Z15">
        <v>75</v>
      </c>
      <c r="AA15">
        <v>5</v>
      </c>
      <c r="AB15">
        <v>40</v>
      </c>
      <c r="AC15">
        <v>30</v>
      </c>
      <c r="AD15">
        <v>333</v>
      </c>
      <c r="AE15">
        <v>5</v>
      </c>
      <c r="AF15">
        <v>50</v>
      </c>
      <c r="AG15">
        <v>80</v>
      </c>
      <c r="AH15">
        <v>160</v>
      </c>
      <c r="AI15">
        <v>467</v>
      </c>
      <c r="AJ15">
        <v>1000</v>
      </c>
      <c r="AK15">
        <v>275</v>
      </c>
      <c r="AL15">
        <v>85</v>
      </c>
      <c r="AM15">
        <v>5</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99.66666666666667</v>
      </c>
      <c r="F17" s="44">
        <f>CONFIDENCE(0.05,G17,D17)</f>
        <v>5.489454463292</v>
      </c>
      <c r="G17" s="44">
        <f>STDEV(Q17:EC17)</f>
        <v>6.860515043833601</v>
      </c>
      <c r="H17" s="44">
        <f>QUARTILE(Q17:EC17,2)</f>
        <v>99</v>
      </c>
      <c r="I17" s="44">
        <f>MIN(Q17:EC17)</f>
        <v>90</v>
      </c>
      <c r="J17" s="44">
        <f>MAX(Q17:EC17)</f>
        <v>110</v>
      </c>
      <c r="K17" s="44">
        <f>PERCENTILE(Q17:EC17,0.95)</f>
        <v>108.5</v>
      </c>
      <c r="L17" s="102" t="str">
        <f>IF(H17&gt;120,"A",IF(H17&gt;100,"B",IF(H17&gt;80,"C",IF(H17&gt;60,"D","E"))))</f>
        <v>C</v>
      </c>
      <c r="N17" s="116" t="s">
        <v>17</v>
      </c>
      <c r="O17" s="108"/>
      <c r="P17" t="s">
        <v>17</v>
      </c>
      <c r="Q17">
        <v>96</v>
      </c>
      <c r="U17">
        <v>104</v>
      </c>
      <c r="X17">
        <v>100</v>
      </c>
      <c r="AB17">
        <v>90</v>
      </c>
      <c r="AF17">
        <v>110</v>
      </c>
      <c r="AJ17">
        <v>98</v>
      </c>
    </row>
    <row r="18" spans="2:36" ht="12.75">
      <c r="B18" s="74"/>
      <c r="C18" s="96" t="s">
        <v>18</v>
      </c>
      <c r="D18" s="81">
        <f>COUNT(Q18:EC18)</f>
        <v>6</v>
      </c>
      <c r="E18" s="44">
        <f>AVERAGE(Q18:EC18)</f>
        <v>4.398166666666667</v>
      </c>
      <c r="F18" s="44">
        <f>CONFIDENCE(0.05,G18,D18)</f>
        <v>0.7609424673657037</v>
      </c>
      <c r="G18" s="44">
        <f>STDEV(Q18:EC18)</f>
        <v>0.9509974588118881</v>
      </c>
      <c r="H18" s="44">
        <f>QUARTILE(Q18:EC18,2)</f>
        <v>4.5945</v>
      </c>
      <c r="I18" s="44">
        <f>MIN(Q18:EC18)</f>
        <v>3.05</v>
      </c>
      <c r="J18" s="44">
        <f>MAX(Q18:EC18)</f>
        <v>5.48</v>
      </c>
      <c r="K18" s="44">
        <f>PERCENTILE(Q18:EC18,0.95)</f>
        <v>5.397500000000001</v>
      </c>
      <c r="L18" s="105" t="str">
        <f>IF(H18&gt;6,"A",IF(H18&gt;5,"B",IF(H18&gt;4,"C",IF(H18&gt;3,"D","E"))))</f>
        <v>C</v>
      </c>
      <c r="N18" s="116" t="s">
        <v>18</v>
      </c>
      <c r="O18" s="108"/>
      <c r="P18" t="s">
        <v>18</v>
      </c>
      <c r="Q18">
        <v>4.84</v>
      </c>
      <c r="U18">
        <v>3.52</v>
      </c>
      <c r="X18">
        <v>5.15</v>
      </c>
      <c r="AB18">
        <v>3.05</v>
      </c>
      <c r="AF18">
        <v>5.48</v>
      </c>
      <c r="AJ18">
        <v>4.349</v>
      </c>
    </row>
    <row r="19" spans="2:36" ht="12.75">
      <c r="B19" s="71" t="s">
        <v>106</v>
      </c>
      <c r="C19" s="7" t="s">
        <v>19</v>
      </c>
      <c r="D19" s="86">
        <f>COUNT(Q19:EC19)</f>
        <v>6</v>
      </c>
      <c r="E19" s="113">
        <f>AVERAGE(Q19:EC19)</f>
        <v>7.799166666666667</v>
      </c>
      <c r="F19" s="113">
        <f>CONFIDENCE(0.05,G19,D19)</f>
        <v>1.5341782496526395</v>
      </c>
      <c r="G19" s="113">
        <f>STDEV(Q19:EC19)</f>
        <v>1.9173586432033705</v>
      </c>
      <c r="H19" s="113">
        <f>QUARTILE(Q19:EC19,2)</f>
        <v>7.692500000000001</v>
      </c>
      <c r="I19" s="113">
        <f>MIN(Q19:EC19)</f>
        <v>5.85</v>
      </c>
      <c r="J19" s="113">
        <f>MAX(Q19:EC19)</f>
        <v>9.9</v>
      </c>
      <c r="K19" s="113">
        <f>PERCENTILE(Q19:EC19,0.95)</f>
        <v>9.825</v>
      </c>
      <c r="L19" s="102" t="str">
        <f>IF(H19&gt;8,"A",IF(H19&gt;6,"B",IF(H19&gt;4,"C",IF(H19&gt;2,"D","E"))))</f>
        <v>B</v>
      </c>
      <c r="N19" s="116" t="s">
        <v>96</v>
      </c>
      <c r="O19" s="108"/>
      <c r="P19" t="s">
        <v>96</v>
      </c>
      <c r="R19">
        <v>5.85</v>
      </c>
      <c r="S19">
        <v>6.06</v>
      </c>
      <c r="X19">
        <v>6.3</v>
      </c>
      <c r="AB19">
        <v>9.6</v>
      </c>
      <c r="AF19">
        <v>9.9</v>
      </c>
      <c r="AJ19">
        <v>9.085</v>
      </c>
    </row>
    <row r="20" spans="2:36" ht="13.5" thickBot="1">
      <c r="B20" s="72"/>
      <c r="C20" s="97" t="s">
        <v>122</v>
      </c>
      <c r="D20" s="87">
        <f>COUNT(Q20:EC20)</f>
        <v>4</v>
      </c>
      <c r="E20" s="114">
        <f>AVERAGE(Q20:EC20)</f>
        <v>0.325</v>
      </c>
      <c r="F20" s="114">
        <f>CONFIDENCE(0.05,G20,D20)</f>
        <v>0.4622565812415338</v>
      </c>
      <c r="G20" s="114">
        <f>STDEV(Q20:EC20)</f>
        <v>0.4716990566028302</v>
      </c>
      <c r="H20" s="114">
        <f>QUARTILE(Q20:EC20,2)</f>
        <v>0.15</v>
      </c>
      <c r="I20" s="114">
        <f>MIN(Q20:EC20)</f>
        <v>0</v>
      </c>
      <c r="J20" s="114">
        <f>MAX(Q20:EC20)</f>
        <v>1</v>
      </c>
      <c r="K20" s="114">
        <f>PERCENTILE(Q20:EC20,0.95)</f>
        <v>0.8949999999999998</v>
      </c>
      <c r="L20" s="105"/>
      <c r="N20" s="116" t="s">
        <v>97</v>
      </c>
      <c r="O20" s="108"/>
      <c r="P20" t="s">
        <v>97</v>
      </c>
      <c r="X20">
        <v>0.3</v>
      </c>
      <c r="AB20">
        <v>1</v>
      </c>
      <c r="AF20">
        <v>0</v>
      </c>
      <c r="AJ20">
        <v>0</v>
      </c>
    </row>
    <row r="21" spans="2:15" ht="12.75">
      <c r="B21" s="80"/>
      <c r="C21" s="89"/>
      <c r="D21" s="89"/>
      <c r="E21" s="89"/>
      <c r="F21" s="89"/>
      <c r="G21" s="89"/>
      <c r="H21" s="89"/>
      <c r="I21" s="89"/>
      <c r="J21" s="89"/>
      <c r="K21" s="89"/>
      <c r="L21" s="100"/>
      <c r="O21" s="108"/>
    </row>
    <row r="22" spans="2:15" ht="12.75">
      <c r="B22" s="210" t="s">
        <v>119</v>
      </c>
      <c r="C22" s="211"/>
      <c r="D22" s="211"/>
      <c r="E22" s="211"/>
      <c r="F22" s="211"/>
      <c r="G22" s="76" t="str">
        <f>'Combined Score Calcs'!W10</f>
        <v>C</v>
      </c>
      <c r="H22" s="39"/>
      <c r="I22" s="39"/>
      <c r="J22" s="39"/>
      <c r="K22" s="99"/>
      <c r="L22" s="90"/>
      <c r="N22" s="111"/>
      <c r="O22" s="108"/>
    </row>
    <row r="23" spans="2:17" ht="13.5" thickBot="1">
      <c r="B23" s="83"/>
      <c r="C23" s="84"/>
      <c r="D23" s="84"/>
      <c r="E23" s="84"/>
      <c r="F23" s="84"/>
      <c r="G23" s="84"/>
      <c r="H23" s="84"/>
      <c r="I23" s="84"/>
      <c r="J23" s="84"/>
      <c r="K23" s="84"/>
      <c r="L23" s="91"/>
      <c r="N23" s="111"/>
      <c r="O23" s="108"/>
      <c r="Q23" s="20"/>
    </row>
    <row r="24" spans="12:17" ht="12.75">
      <c r="L24" s="60"/>
      <c r="N24" s="111"/>
      <c r="O24" s="108"/>
      <c r="Q24" s="20"/>
    </row>
    <row r="25" spans="12:15" ht="12.75">
      <c r="L25" s="60"/>
      <c r="O25" s="108"/>
    </row>
    <row r="26" spans="12:15" ht="12.75">
      <c r="L26" s="60"/>
      <c r="O26" s="108"/>
    </row>
    <row r="27" spans="12:15" ht="12.75">
      <c r="L27" s="60"/>
      <c r="O27" s="108"/>
    </row>
    <row r="28" spans="7:15" ht="12.75">
      <c r="G28" t="s">
        <v>140</v>
      </c>
      <c r="H28" t="s">
        <v>141</v>
      </c>
      <c r="L28" s="60"/>
      <c r="O28" s="108"/>
    </row>
    <row r="29" spans="5:15" ht="12.75">
      <c r="E29" s="158"/>
      <c r="F29" s="153"/>
      <c r="G29" s="118" t="s">
        <v>21</v>
      </c>
      <c r="H29" s="136">
        <v>1.5</v>
      </c>
      <c r="I29" s="137">
        <v>10</v>
      </c>
      <c r="J29" s="119"/>
      <c r="K29" s="119"/>
      <c r="L29" s="60"/>
      <c r="O29" s="108"/>
    </row>
    <row r="30" spans="5:12" ht="12.75">
      <c r="E30" s="158"/>
      <c r="F30" s="153"/>
      <c r="G30" s="122" t="s">
        <v>22</v>
      </c>
      <c r="H30" s="137">
        <v>65</v>
      </c>
      <c r="I30" s="137">
        <v>270</v>
      </c>
      <c r="J30" s="119"/>
      <c r="K30" s="119"/>
      <c r="L30" s="60"/>
    </row>
    <row r="31" spans="5:12" ht="12.75">
      <c r="E31" s="158"/>
      <c r="F31" s="153"/>
      <c r="G31" s="122" t="s">
        <v>23</v>
      </c>
      <c r="H31" s="137">
        <v>50</v>
      </c>
      <c r="I31" s="137">
        <v>220</v>
      </c>
      <c r="J31" s="119"/>
      <c r="K31" s="119"/>
      <c r="L31" s="60"/>
    </row>
    <row r="32" spans="5:12" ht="12.75">
      <c r="E32" s="158"/>
      <c r="F32" s="153"/>
      <c r="G32" s="122" t="s">
        <v>24</v>
      </c>
      <c r="H32" s="137">
        <v>200</v>
      </c>
      <c r="I32" s="137">
        <v>210</v>
      </c>
      <c r="J32" s="119"/>
      <c r="K32" s="119"/>
      <c r="L32" s="60"/>
    </row>
    <row r="33" spans="7:12" ht="12.75">
      <c r="G33" s="122"/>
      <c r="H33" t="s">
        <v>137</v>
      </c>
      <c r="I33" t="s">
        <v>138</v>
      </c>
      <c r="L33" s="60"/>
    </row>
    <row r="34" ht="12.75">
      <c r="L34" s="60"/>
    </row>
    <row r="35" ht="12.75">
      <c r="L35" s="60"/>
    </row>
    <row r="36" spans="5:12" ht="12.75">
      <c r="E36" s="158"/>
      <c r="F36" s="153"/>
      <c r="G36" s="119"/>
      <c r="H36" s="119"/>
      <c r="I36" s="119"/>
      <c r="J36" s="119"/>
      <c r="K36" s="119"/>
      <c r="L36" s="60"/>
    </row>
    <row r="37" spans="5:12" ht="12.75">
      <c r="E37" s="158"/>
      <c r="F37" s="153"/>
      <c r="G37" s="119"/>
      <c r="H37" s="119"/>
      <c r="I37" s="119"/>
      <c r="J37" s="119"/>
      <c r="K37" s="119"/>
      <c r="L37" s="60"/>
    </row>
    <row r="38" spans="5:12" ht="12.75">
      <c r="E38" s="158"/>
      <c r="F38" s="153"/>
      <c r="G38" s="119"/>
      <c r="H38" s="119"/>
      <c r="I38" s="119"/>
      <c r="J38" s="119"/>
      <c r="K38" s="119"/>
      <c r="L38" s="60"/>
    </row>
    <row r="39" spans="5:12" ht="12.75">
      <c r="E39" s="158"/>
      <c r="F39" s="153"/>
      <c r="G39" s="119"/>
      <c r="H39" s="119"/>
      <c r="I39" s="119"/>
      <c r="J39" s="119"/>
      <c r="K39" s="119"/>
      <c r="L39" s="60"/>
    </row>
    <row r="40" spans="5:12" ht="12.75">
      <c r="E40" s="158"/>
      <c r="F40" s="153"/>
      <c r="G40" s="119"/>
      <c r="H40" s="119"/>
      <c r="I40" s="119"/>
      <c r="J40" s="119"/>
      <c r="K40" s="119"/>
      <c r="L40" s="60"/>
    </row>
    <row r="41" spans="5:12" ht="12.75">
      <c r="E41" s="158"/>
      <c r="F41" s="153"/>
      <c r="G41" s="119"/>
      <c r="H41" s="119"/>
      <c r="I41" s="119"/>
      <c r="J41" s="119"/>
      <c r="K41" s="119"/>
      <c r="L41" s="60"/>
    </row>
    <row r="42" ht="12.75">
      <c r="L42" s="60"/>
    </row>
  </sheetData>
  <mergeCells count="1">
    <mergeCell ref="B22:F22"/>
  </mergeCells>
  <printOptions/>
  <pageMargins left="0.75" right="0.75" top="1" bottom="1" header="0.5" footer="0.5"/>
  <pageSetup horizontalDpi="600" verticalDpi="600" orientation="portrait" paperSize="133" r:id="rId1"/>
</worksheet>
</file>

<file path=xl/worksheets/sheet11.xml><?xml version="1.0" encoding="utf-8"?>
<worksheet xmlns="http://schemas.openxmlformats.org/spreadsheetml/2006/main" xmlns:r="http://schemas.openxmlformats.org/officeDocument/2006/relationships">
  <dimension ref="B1:AQ42"/>
  <sheetViews>
    <sheetView workbookViewId="0" topLeftCell="A1">
      <selection activeCell="B3" sqref="B3:L23"/>
    </sheetView>
  </sheetViews>
  <sheetFormatPr defaultColWidth="9.140625" defaultRowHeight="12.75"/>
  <cols>
    <col min="3" max="3" width="28.7109375" style="0" bestFit="1" customWidth="1"/>
    <col min="14" max="14" width="34.140625" style="0" customWidth="1"/>
    <col min="16" max="16" width="33.57421875" style="0" customWidth="1"/>
    <col min="17" max="17" width="14.421875" style="0" bestFit="1" customWidth="1"/>
  </cols>
  <sheetData>
    <row r="1" spans="2:15" ht="15.75">
      <c r="B1" s="107" t="s">
        <v>155</v>
      </c>
      <c r="O1" s="109" t="s">
        <v>125</v>
      </c>
    </row>
    <row r="2" spans="12:39" ht="13.5" thickBot="1">
      <c r="L2" s="60"/>
      <c r="N2" s="116" t="s">
        <v>84</v>
      </c>
      <c r="O2" s="110"/>
      <c r="P2" t="s">
        <v>84</v>
      </c>
      <c r="Q2" t="s">
        <v>60</v>
      </c>
      <c r="R2" t="s">
        <v>60</v>
      </c>
      <c r="S2" t="s">
        <v>60</v>
      </c>
      <c r="T2" t="s">
        <v>60</v>
      </c>
      <c r="U2" t="s">
        <v>60</v>
      </c>
      <c r="V2" t="s">
        <v>60</v>
      </c>
      <c r="W2" t="s">
        <v>60</v>
      </c>
      <c r="X2" t="s">
        <v>60</v>
      </c>
      <c r="Y2" t="s">
        <v>60</v>
      </c>
      <c r="Z2" t="s">
        <v>60</v>
      </c>
      <c r="AA2" t="s">
        <v>60</v>
      </c>
      <c r="AB2" t="s">
        <v>60</v>
      </c>
      <c r="AC2" t="s">
        <v>60</v>
      </c>
      <c r="AD2" t="s">
        <v>60</v>
      </c>
      <c r="AE2" t="s">
        <v>60</v>
      </c>
      <c r="AF2" t="s">
        <v>60</v>
      </c>
      <c r="AG2" t="s">
        <v>60</v>
      </c>
      <c r="AH2" t="s">
        <v>60</v>
      </c>
      <c r="AI2" t="s">
        <v>60</v>
      </c>
      <c r="AJ2" t="s">
        <v>60</v>
      </c>
      <c r="AK2" t="s">
        <v>60</v>
      </c>
      <c r="AL2" t="s">
        <v>60</v>
      </c>
      <c r="AM2" t="s">
        <v>60</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36833.361805555556</v>
      </c>
      <c r="R3" s="64">
        <v>36922.354166666664</v>
      </c>
      <c r="S3" s="64">
        <v>37013.35763888889</v>
      </c>
      <c r="T3" s="64">
        <v>37109.6875</v>
      </c>
      <c r="U3" s="64">
        <v>37223.604166666664</v>
      </c>
      <c r="V3" s="64">
        <v>37384.59375</v>
      </c>
      <c r="W3" s="64">
        <v>37475.48611111111</v>
      </c>
      <c r="X3" s="64">
        <v>37586.65972222222</v>
      </c>
      <c r="Y3" s="64">
        <v>37649.600694444445</v>
      </c>
      <c r="Z3" s="64">
        <v>37747.57638888889</v>
      </c>
      <c r="AA3" s="64">
        <v>37838.555555555555</v>
      </c>
      <c r="AB3" s="64">
        <v>37950.635416666664</v>
      </c>
      <c r="AC3" s="64">
        <v>38028.552083333336</v>
      </c>
      <c r="AD3" s="64">
        <v>38112.50347222222</v>
      </c>
      <c r="AE3" s="64">
        <v>38202.65555555555</v>
      </c>
      <c r="AF3" s="64">
        <v>38336.60763888889</v>
      </c>
      <c r="AG3" s="64">
        <v>38393.65625</v>
      </c>
      <c r="AH3" s="64">
        <v>38477.70486111111</v>
      </c>
      <c r="AI3" s="64">
        <v>38594.50277777778</v>
      </c>
      <c r="AJ3" s="64">
        <v>38680.677083333336</v>
      </c>
      <c r="AK3" s="64">
        <v>38777.479166666664</v>
      </c>
      <c r="AL3" s="64">
        <v>38870.479166666664</v>
      </c>
      <c r="AM3" s="64">
        <v>38960.61597222222</v>
      </c>
      <c r="AO3" s="64"/>
      <c r="AP3" s="64"/>
      <c r="AQ3" s="64"/>
    </row>
    <row r="4" spans="2:39" ht="12.75">
      <c r="B4" s="68" t="s">
        <v>103</v>
      </c>
      <c r="C4" s="93" t="s">
        <v>4</v>
      </c>
      <c r="D4" s="81">
        <f>COUNT(Q4:EC4)</f>
        <v>20</v>
      </c>
      <c r="E4" s="82">
        <f>AVERAGE(Q4:EC4)</f>
        <v>0.11975</v>
      </c>
      <c r="F4" s="82">
        <f aca="true" t="shared" si="0" ref="F4:F15">CONFIDENCE(0.05,G4,D4)</f>
        <v>0.05938091227359104</v>
      </c>
      <c r="G4" s="82">
        <f>STDEV(Q4:EC4)</f>
        <v>0.13549203705481422</v>
      </c>
      <c r="H4" s="82">
        <f>QUARTILE(Q4:EC4,2)</f>
        <v>0.0465</v>
      </c>
      <c r="I4" s="82">
        <f>MIN(Q4:EC4)</f>
        <v>0.012</v>
      </c>
      <c r="J4" s="82">
        <f>MAX(Q4:EC4)</f>
        <v>0.47</v>
      </c>
      <c r="K4" s="82">
        <f>PERCENTILE(Q4:EC4,0.95)</f>
        <v>0.37500000000000006</v>
      </c>
      <c r="L4" s="102" t="str">
        <f>IF((H4+H5)&lt;0.08,"A",IF((H4+H5)&lt;0.12,"B",IF((H4+H5)&lt;0.295,"C",IF((H4+H5)&lt;0.444,"D","E"))))</f>
        <v>A</v>
      </c>
      <c r="N4" s="116" t="s">
        <v>86</v>
      </c>
      <c r="O4" s="108"/>
      <c r="P4" t="s">
        <v>86</v>
      </c>
      <c r="R4">
        <v>0.09</v>
      </c>
      <c r="S4">
        <v>0.02</v>
      </c>
      <c r="V4">
        <v>0.029</v>
      </c>
      <c r="W4">
        <v>0.12</v>
      </c>
      <c r="X4">
        <v>0.038</v>
      </c>
      <c r="Y4">
        <v>0.02</v>
      </c>
      <c r="Z4">
        <v>0.013</v>
      </c>
      <c r="AA4">
        <v>0.11</v>
      </c>
      <c r="AB4">
        <v>0.035</v>
      </c>
      <c r="AC4">
        <v>0.11</v>
      </c>
      <c r="AD4">
        <v>0.47</v>
      </c>
      <c r="AE4">
        <v>0.3</v>
      </c>
      <c r="AF4">
        <v>0.038</v>
      </c>
      <c r="AG4">
        <v>0.028</v>
      </c>
      <c r="AH4">
        <v>0.027</v>
      </c>
      <c r="AI4">
        <v>0.24</v>
      </c>
      <c r="AJ4">
        <v>0.012</v>
      </c>
      <c r="AK4">
        <v>0.055</v>
      </c>
      <c r="AL4">
        <v>0.37</v>
      </c>
      <c r="AM4">
        <v>0.27</v>
      </c>
    </row>
    <row r="5" spans="2:39" ht="12.75">
      <c r="B5" s="69"/>
      <c r="C5" s="5" t="s">
        <v>5</v>
      </c>
      <c r="D5" s="73">
        <f>COUNT(Q5:EC5)</f>
        <v>18</v>
      </c>
      <c r="E5" s="112">
        <f>AVERAGE(Q5:EC5)</f>
        <v>0.005611111111111112</v>
      </c>
      <c r="F5" s="112">
        <f t="shared" si="0"/>
        <v>0.00067485072045656</v>
      </c>
      <c r="G5" s="112">
        <f>STDEV(Q5:EC5)</f>
        <v>0.001460817212420697</v>
      </c>
      <c r="H5" s="112">
        <f>QUARTILE(Q5:EC5,2)</f>
        <v>0.005</v>
      </c>
      <c r="I5" s="112">
        <f>MIN(Q5:EC5)</f>
        <v>0.005</v>
      </c>
      <c r="J5" s="112">
        <f>MAX(Q5:EC5)</f>
        <v>0.01</v>
      </c>
      <c r="K5" s="112">
        <f>PERCENTILE(Q5:EC5,0.95)</f>
        <v>0.009149999999999998</v>
      </c>
      <c r="L5" s="102"/>
      <c r="N5" s="116" t="s">
        <v>87</v>
      </c>
      <c r="O5" s="108"/>
      <c r="P5" t="s">
        <v>87</v>
      </c>
      <c r="V5">
        <v>0.005</v>
      </c>
      <c r="W5">
        <v>0.01</v>
      </c>
      <c r="X5">
        <v>0.009</v>
      </c>
      <c r="Y5">
        <v>0.005</v>
      </c>
      <c r="Z5">
        <v>0.006</v>
      </c>
      <c r="AA5">
        <v>0.005</v>
      </c>
      <c r="AB5">
        <v>0.006</v>
      </c>
      <c r="AC5">
        <v>0.005</v>
      </c>
      <c r="AD5">
        <v>0.005</v>
      </c>
      <c r="AE5">
        <v>0.005</v>
      </c>
      <c r="AF5">
        <v>0.005</v>
      </c>
      <c r="AG5">
        <v>0.005</v>
      </c>
      <c r="AH5">
        <v>0.005</v>
      </c>
      <c r="AI5">
        <v>0.005</v>
      </c>
      <c r="AJ5">
        <v>0.005</v>
      </c>
      <c r="AK5">
        <v>0.005</v>
      </c>
      <c r="AL5">
        <v>0.005</v>
      </c>
      <c r="AM5">
        <v>0.005</v>
      </c>
    </row>
    <row r="6" spans="2:39" ht="12.75">
      <c r="B6" s="70"/>
      <c r="C6" s="94" t="s">
        <v>6</v>
      </c>
      <c r="D6" s="73">
        <f>COUNT(Q6:EC6)</f>
        <v>23</v>
      </c>
      <c r="E6" s="112">
        <f>AVERAGE(Q6:EC6)</f>
        <v>0.006521739130434784</v>
      </c>
      <c r="F6" s="112">
        <f t="shared" si="0"/>
        <v>0.0007780519226848723</v>
      </c>
      <c r="G6" s="112">
        <f>STDEV(Q6:EC6)</f>
        <v>0.001903813522605025</v>
      </c>
      <c r="H6" s="112">
        <f>QUARTILE(Q6:EC6,2)</f>
        <v>0.007</v>
      </c>
      <c r="I6" s="112">
        <f>MIN(Q6:EC6)</f>
        <v>0.003</v>
      </c>
      <c r="J6" s="112">
        <f>MAX(Q6:EC6)</f>
        <v>0.009</v>
      </c>
      <c r="K6" s="112">
        <f>PERCENTILE(Q6:EC6,0.95)</f>
        <v>0.009</v>
      </c>
      <c r="L6" s="102" t="str">
        <f>IF((H6)&lt;0.005,"A",IF((H6)&lt;0.008,"B",IF((H6)&lt;0.026,"C",IF((H6)&lt;0.05,"D","E"))))</f>
        <v>B</v>
      </c>
      <c r="N6" s="116" t="s">
        <v>88</v>
      </c>
      <c r="O6" s="108"/>
      <c r="P6" t="s">
        <v>88</v>
      </c>
      <c r="Q6">
        <v>0.008</v>
      </c>
      <c r="R6">
        <v>0.008</v>
      </c>
      <c r="S6">
        <v>0.007</v>
      </c>
      <c r="T6">
        <v>0.007</v>
      </c>
      <c r="U6">
        <v>0.009</v>
      </c>
      <c r="V6">
        <v>0.005</v>
      </c>
      <c r="W6">
        <v>0.005</v>
      </c>
      <c r="X6">
        <v>0.005</v>
      </c>
      <c r="Y6">
        <v>0.006</v>
      </c>
      <c r="Z6">
        <v>0.009</v>
      </c>
      <c r="AA6">
        <v>0.009</v>
      </c>
      <c r="AB6">
        <v>0.007</v>
      </c>
      <c r="AC6">
        <v>0.007</v>
      </c>
      <c r="AD6">
        <v>0.009</v>
      </c>
      <c r="AE6">
        <v>0.009</v>
      </c>
      <c r="AF6">
        <v>0.005</v>
      </c>
      <c r="AG6">
        <v>0.007</v>
      </c>
      <c r="AH6">
        <v>0.003</v>
      </c>
      <c r="AI6">
        <v>0.006</v>
      </c>
      <c r="AJ6">
        <v>0.005</v>
      </c>
      <c r="AK6">
        <v>0.003</v>
      </c>
      <c r="AL6">
        <v>0.007</v>
      </c>
      <c r="AM6">
        <v>0.004</v>
      </c>
    </row>
    <row r="7" spans="2:39" ht="12.75">
      <c r="B7" s="71" t="s">
        <v>104</v>
      </c>
      <c r="C7" s="6" t="s">
        <v>7</v>
      </c>
      <c r="D7" s="86">
        <f>COUNT(Q7:EC7)</f>
        <v>23</v>
      </c>
      <c r="E7" s="113">
        <f>AVERAGE(Q7:EC7)</f>
        <v>8.199130434782607</v>
      </c>
      <c r="F7" s="113">
        <f t="shared" si="0"/>
        <v>0.12991532999901165</v>
      </c>
      <c r="G7" s="113">
        <f>STDEV(Q7:EC7)</f>
        <v>0.31788953260640995</v>
      </c>
      <c r="H7" s="113">
        <f>QUARTILE(Q7:EC7,2)</f>
        <v>8.21</v>
      </c>
      <c r="I7" s="113">
        <f>MIN(Q7:EC7)</f>
        <v>7.52</v>
      </c>
      <c r="J7" s="113">
        <f>MAX(Q7:EC7)</f>
        <v>8.77</v>
      </c>
      <c r="K7" s="113">
        <f>PERCENTILE(Q7:EC7,0.95)</f>
        <v>8.66</v>
      </c>
      <c r="L7" s="103" t="str">
        <f>IF(AND(7.2&lt;H7,H7&lt;9),"A",IF(AND(7.2&lt;=H7,H7&lt;=9),"B",IF(AND(6.5&lt;=H7,H7&lt;=9),"C",IF(AND(6.5&lt;=H7,H7&lt;=10),"D","E"))))</f>
        <v>A</v>
      </c>
      <c r="N7" s="116" t="s">
        <v>89</v>
      </c>
      <c r="O7" s="108"/>
      <c r="P7" t="s">
        <v>89</v>
      </c>
      <c r="Q7">
        <v>8.37</v>
      </c>
      <c r="R7">
        <v>8.05</v>
      </c>
      <c r="S7">
        <v>8.28</v>
      </c>
      <c r="T7">
        <v>8.5</v>
      </c>
      <c r="U7">
        <v>7.94</v>
      </c>
      <c r="V7">
        <v>8.77</v>
      </c>
      <c r="W7">
        <v>8.51</v>
      </c>
      <c r="X7">
        <v>8.57</v>
      </c>
      <c r="Y7">
        <v>8.52</v>
      </c>
      <c r="Z7">
        <v>8.33</v>
      </c>
      <c r="AA7">
        <v>8.04</v>
      </c>
      <c r="AB7">
        <v>8.21</v>
      </c>
      <c r="AC7">
        <v>7.98</v>
      </c>
      <c r="AD7">
        <v>7.52</v>
      </c>
      <c r="AE7">
        <v>7.86</v>
      </c>
      <c r="AF7">
        <v>8.28</v>
      </c>
      <c r="AG7">
        <v>8.29</v>
      </c>
      <c r="AH7">
        <v>7.97</v>
      </c>
      <c r="AI7">
        <v>8.18</v>
      </c>
      <c r="AJ7">
        <v>7.87</v>
      </c>
      <c r="AK7">
        <v>7.67</v>
      </c>
      <c r="AL7">
        <v>8.2</v>
      </c>
      <c r="AM7">
        <v>8.67</v>
      </c>
    </row>
    <row r="8" spans="2:39" ht="12.75">
      <c r="B8" s="71"/>
      <c r="C8" s="6" t="s">
        <v>8</v>
      </c>
      <c r="D8" s="81">
        <f>COUNT(Q8:EC8)</f>
        <v>23</v>
      </c>
      <c r="E8" s="44">
        <f>AVERAGE(Q8:EC8)</f>
        <v>11.74217391304348</v>
      </c>
      <c r="F8" s="44">
        <f t="shared" si="0"/>
        <v>1.307611730869241</v>
      </c>
      <c r="G8" s="44">
        <f>STDEV(Q8:EC8)</f>
        <v>3.199592241807368</v>
      </c>
      <c r="H8" s="44">
        <f>QUARTILE(Q8:EC8,2)</f>
        <v>11.8</v>
      </c>
      <c r="I8" s="44">
        <f>MIN(Q8:EC8)</f>
        <v>7.1</v>
      </c>
      <c r="J8" s="44">
        <f>MAX(Q8:EC8)</f>
        <v>18.4</v>
      </c>
      <c r="K8" s="44">
        <f>PERCENTILE(Q8:EC8,0.95)</f>
        <v>16.419999999999998</v>
      </c>
      <c r="L8" s="102" t="str">
        <f>IF(H8&lt;18,"A",IF(H8&lt;20,"B",IF(H8&lt;22,"C",IF(H8&lt;25,"D","E"))))</f>
        <v>A</v>
      </c>
      <c r="N8" s="116" t="s">
        <v>90</v>
      </c>
      <c r="O8" s="108"/>
      <c r="P8" t="s">
        <v>90</v>
      </c>
      <c r="Q8">
        <v>9.2</v>
      </c>
      <c r="R8">
        <v>15.7</v>
      </c>
      <c r="S8">
        <v>10.5</v>
      </c>
      <c r="T8">
        <v>7.1</v>
      </c>
      <c r="U8">
        <v>12.5</v>
      </c>
      <c r="V8">
        <v>10.47</v>
      </c>
      <c r="W8">
        <v>8.1</v>
      </c>
      <c r="X8">
        <v>16.5</v>
      </c>
      <c r="Y8">
        <v>15.5</v>
      </c>
      <c r="Z8">
        <v>8.4</v>
      </c>
      <c r="AA8">
        <v>9.4</v>
      </c>
      <c r="AB8">
        <v>14.2</v>
      </c>
      <c r="AC8">
        <v>15.5</v>
      </c>
      <c r="AD8">
        <v>11.8</v>
      </c>
      <c r="AE8">
        <v>8.3</v>
      </c>
      <c r="AF8">
        <v>13.5</v>
      </c>
      <c r="AG8">
        <v>18.4</v>
      </c>
      <c r="AH8">
        <v>12</v>
      </c>
      <c r="AI8">
        <v>9.29</v>
      </c>
      <c r="AJ8">
        <v>13.3</v>
      </c>
      <c r="AK8">
        <v>13.07</v>
      </c>
      <c r="AL8">
        <v>7.54</v>
      </c>
      <c r="AM8">
        <v>9.8</v>
      </c>
    </row>
    <row r="9" spans="2:39" ht="12.75">
      <c r="B9" s="71"/>
      <c r="C9" s="7" t="s">
        <v>9</v>
      </c>
      <c r="D9" s="81">
        <f>COUNT(Q9:EC9)</f>
        <v>23</v>
      </c>
      <c r="E9" s="44">
        <f>AVERAGE(Q9:EC9)</f>
        <v>104.4434782608696</v>
      </c>
      <c r="F9" s="44">
        <f t="shared" si="0"/>
        <v>2.262013625303175</v>
      </c>
      <c r="G9" s="44">
        <f>STDEV(Q9:EC9)</f>
        <v>5.5349161188477725</v>
      </c>
      <c r="H9" s="44">
        <f>QUARTILE(Q9:EC9,2)</f>
        <v>104.1</v>
      </c>
      <c r="I9" s="44">
        <f>MIN(Q9:EC9)</f>
        <v>92.6</v>
      </c>
      <c r="J9" s="44">
        <f>MAX(Q9:EC9)</f>
        <v>115.7</v>
      </c>
      <c r="K9" s="44">
        <f>PERCENTILE(Q9:EC9,0.95)</f>
        <v>113.44</v>
      </c>
      <c r="L9" s="104" t="str">
        <f>IF(AND(99&lt;=H9,H9&lt;=103),"A",IF(AND(98&lt;=H9,H9&lt;=105),"B",IF(H9&gt;90,"C",IF(H9&gt;80,"D","E"))))</f>
        <v>B</v>
      </c>
      <c r="N9" s="116" t="s">
        <v>91</v>
      </c>
      <c r="O9" s="108"/>
      <c r="P9" t="s">
        <v>91</v>
      </c>
      <c r="Q9">
        <v>99.7</v>
      </c>
      <c r="R9">
        <v>92.6</v>
      </c>
      <c r="S9">
        <v>95.8</v>
      </c>
      <c r="T9">
        <v>105.7</v>
      </c>
      <c r="U9">
        <v>100.8</v>
      </c>
      <c r="V9">
        <v>107.3</v>
      </c>
      <c r="W9">
        <v>112.9</v>
      </c>
      <c r="X9">
        <v>104.4</v>
      </c>
      <c r="Y9">
        <v>113.5</v>
      </c>
      <c r="Z9">
        <v>104.1</v>
      </c>
      <c r="AA9">
        <v>102.7</v>
      </c>
      <c r="AB9">
        <v>103.4</v>
      </c>
      <c r="AC9">
        <v>102.5</v>
      </c>
      <c r="AD9">
        <v>101.7</v>
      </c>
      <c r="AE9">
        <v>98</v>
      </c>
      <c r="AF9">
        <v>106.5</v>
      </c>
      <c r="AG9">
        <v>109.5</v>
      </c>
      <c r="AH9">
        <v>102.2</v>
      </c>
      <c r="AI9">
        <v>115.7</v>
      </c>
      <c r="AJ9">
        <v>104.6</v>
      </c>
      <c r="AK9">
        <v>106</v>
      </c>
      <c r="AL9">
        <v>102.3</v>
      </c>
      <c r="AM9">
        <v>110.3</v>
      </c>
    </row>
    <row r="10" spans="2:39" ht="12.75">
      <c r="B10" s="71"/>
      <c r="C10" s="6" t="s">
        <v>10</v>
      </c>
      <c r="D10" s="81">
        <f>COUNT(Q10:EC10)</f>
        <v>23</v>
      </c>
      <c r="E10" s="44">
        <f>AVERAGE(Q10:EC10)</f>
        <v>11.370869565217392</v>
      </c>
      <c r="F10" s="44">
        <f t="shared" si="0"/>
        <v>0.42075520218425744</v>
      </c>
      <c r="G10" s="44">
        <f>STDEV(Q10:EC10)</f>
        <v>1.0295449702901625</v>
      </c>
      <c r="H10" s="44">
        <f>QUARTILE(Q10:EC10,2)</f>
        <v>11.15</v>
      </c>
      <c r="I10" s="44">
        <f>MIN(Q10:EC10)</f>
        <v>9.16</v>
      </c>
      <c r="J10" s="44">
        <f>MAX(Q10:EC10)</f>
        <v>13.32</v>
      </c>
      <c r="K10" s="44">
        <f>PERCENTILE(Q10:EC10,0.95)</f>
        <v>13.219</v>
      </c>
      <c r="L10" s="102"/>
      <c r="N10" s="116" t="s">
        <v>92</v>
      </c>
      <c r="O10" s="108"/>
      <c r="P10" t="s">
        <v>92</v>
      </c>
      <c r="Q10">
        <v>11.41</v>
      </c>
      <c r="R10">
        <v>9.16</v>
      </c>
      <c r="S10">
        <v>10.85</v>
      </c>
      <c r="T10">
        <v>12.76</v>
      </c>
      <c r="U10">
        <v>10.72</v>
      </c>
      <c r="V10">
        <v>11.98</v>
      </c>
      <c r="W10">
        <v>13.32</v>
      </c>
      <c r="X10">
        <v>10.19</v>
      </c>
      <c r="Y10">
        <v>11.3</v>
      </c>
      <c r="Z10">
        <v>12.21</v>
      </c>
      <c r="AA10">
        <v>11.76</v>
      </c>
      <c r="AB10">
        <v>10.61</v>
      </c>
      <c r="AC10">
        <v>10.21</v>
      </c>
      <c r="AD10">
        <v>11</v>
      </c>
      <c r="AE10">
        <v>11.53</v>
      </c>
      <c r="AF10">
        <v>11.1</v>
      </c>
      <c r="AG10">
        <v>10.29</v>
      </c>
      <c r="AH10">
        <v>11.02</v>
      </c>
      <c r="AI10">
        <v>13.27</v>
      </c>
      <c r="AJ10">
        <v>10.93</v>
      </c>
      <c r="AK10">
        <v>11.15</v>
      </c>
      <c r="AL10">
        <v>12.24</v>
      </c>
      <c r="AM10">
        <v>12.52</v>
      </c>
    </row>
    <row r="11" spans="2:39" ht="12.75">
      <c r="B11" s="72"/>
      <c r="C11" s="95" t="s">
        <v>11</v>
      </c>
      <c r="D11" s="87">
        <f>COUNT(Q11:EC11)</f>
        <v>23</v>
      </c>
      <c r="E11" s="115">
        <f>AVERAGE(Q11:EC11)</f>
        <v>199.97826086956522</v>
      </c>
      <c r="F11" s="115">
        <f t="shared" si="0"/>
        <v>9.179028982415295</v>
      </c>
      <c r="G11" s="115">
        <f>STDEV(Q11:EC11)</f>
        <v>22.460145642726587</v>
      </c>
      <c r="H11" s="115">
        <f>QUARTILE(Q11:EC11,2)</f>
        <v>206</v>
      </c>
      <c r="I11" s="115">
        <f>MIN(Q11:EC11)</f>
        <v>149</v>
      </c>
      <c r="J11" s="115">
        <f>MAX(Q11:EC11)</f>
        <v>240.1</v>
      </c>
      <c r="K11" s="115">
        <f>PERCENTILE(Q11:EC11,0.95)</f>
        <v>225.5</v>
      </c>
      <c r="L11" s="105"/>
      <c r="N11" s="116" t="s">
        <v>93</v>
      </c>
      <c r="O11" s="108"/>
      <c r="P11" t="s">
        <v>93</v>
      </c>
      <c r="Q11">
        <v>218.7</v>
      </c>
      <c r="R11">
        <v>197.5</v>
      </c>
      <c r="S11">
        <v>240.1</v>
      </c>
      <c r="T11">
        <v>196.7</v>
      </c>
      <c r="U11">
        <v>175.5</v>
      </c>
      <c r="V11">
        <v>218</v>
      </c>
      <c r="W11">
        <v>206</v>
      </c>
      <c r="X11">
        <v>210</v>
      </c>
      <c r="Y11">
        <v>226</v>
      </c>
      <c r="Z11">
        <v>209</v>
      </c>
      <c r="AA11">
        <v>206</v>
      </c>
      <c r="AB11">
        <v>208</v>
      </c>
      <c r="AC11">
        <v>198</v>
      </c>
      <c r="AD11">
        <v>149</v>
      </c>
      <c r="AE11">
        <v>170</v>
      </c>
      <c r="AF11">
        <v>205</v>
      </c>
      <c r="AG11">
        <v>209</v>
      </c>
      <c r="AH11">
        <v>217</v>
      </c>
      <c r="AI11">
        <v>186</v>
      </c>
      <c r="AJ11">
        <v>221</v>
      </c>
      <c r="AK11">
        <v>150</v>
      </c>
      <c r="AL11">
        <v>195</v>
      </c>
      <c r="AM11">
        <v>188</v>
      </c>
    </row>
    <row r="12" spans="2:39" ht="12.75">
      <c r="B12" s="68" t="s">
        <v>105</v>
      </c>
      <c r="C12" s="4" t="s">
        <v>12</v>
      </c>
      <c r="D12" s="81">
        <f>COUNT(Q12:EC12)</f>
        <v>23</v>
      </c>
      <c r="E12" s="82">
        <f>AVERAGE(Q12:EC12)</f>
        <v>1.1726086956521742</v>
      </c>
      <c r="F12" s="82">
        <f t="shared" si="0"/>
        <v>0.2912111774347025</v>
      </c>
      <c r="G12" s="82">
        <f>STDEV(Q12:EC12)</f>
        <v>0.7125639836744758</v>
      </c>
      <c r="H12" s="82">
        <f>QUARTILE(Q12:EC12,2)</f>
        <v>1.03</v>
      </c>
      <c r="I12" s="82">
        <f>MIN(Q12:EC12)</f>
        <v>0.41</v>
      </c>
      <c r="J12" s="82">
        <f>MAX(Q12:EC12)</f>
        <v>3.37</v>
      </c>
      <c r="K12" s="82">
        <f>PERCENTILE(Q12:EC12,0.95)</f>
        <v>2.4629999999999987</v>
      </c>
      <c r="L12" s="102" t="str">
        <f>IF(H12&lt;1,"A",IF(H12&lt;2,"B",IF(H12&lt;3,"C",IF(H12&lt;5,"D","E"))))</f>
        <v>B</v>
      </c>
      <c r="N12" s="116" t="s">
        <v>94</v>
      </c>
      <c r="O12" s="108"/>
      <c r="P12" t="s">
        <v>94</v>
      </c>
      <c r="Q12">
        <v>1.14</v>
      </c>
      <c r="R12">
        <v>0.59</v>
      </c>
      <c r="S12">
        <v>0.41</v>
      </c>
      <c r="T12">
        <v>0.61</v>
      </c>
      <c r="U12">
        <v>1.86</v>
      </c>
      <c r="V12">
        <v>0.91</v>
      </c>
      <c r="W12">
        <v>0.99</v>
      </c>
      <c r="X12">
        <v>0.71</v>
      </c>
      <c r="Y12">
        <v>0.57</v>
      </c>
      <c r="Z12">
        <v>0.57</v>
      </c>
      <c r="AA12">
        <v>1.03</v>
      </c>
      <c r="AB12">
        <v>0.59</v>
      </c>
      <c r="AC12">
        <v>0.5</v>
      </c>
      <c r="AD12">
        <v>3.37</v>
      </c>
      <c r="AE12">
        <v>2.53</v>
      </c>
      <c r="AF12">
        <v>0.91</v>
      </c>
      <c r="AG12">
        <v>1.19</v>
      </c>
      <c r="AH12">
        <v>1.4</v>
      </c>
      <c r="AI12">
        <v>1.17</v>
      </c>
      <c r="AJ12">
        <v>1.27</v>
      </c>
      <c r="AK12">
        <v>1.05</v>
      </c>
      <c r="AL12">
        <v>1.78</v>
      </c>
      <c r="AM12">
        <v>1.82</v>
      </c>
    </row>
    <row r="13" spans="2:39" ht="12.75">
      <c r="B13" s="71"/>
      <c r="C13" s="6" t="s">
        <v>13</v>
      </c>
      <c r="D13" s="81">
        <f>COUNT(Q13:EC13)</f>
        <v>23</v>
      </c>
      <c r="E13" s="44">
        <f>AVERAGE(Q13:EC13)</f>
        <v>4.519565217391306</v>
      </c>
      <c r="F13" s="44">
        <f t="shared" si="0"/>
        <v>0.619817665753539</v>
      </c>
      <c r="G13" s="44">
        <f>STDEV(Q13:EC13)</f>
        <v>1.5166304705463745</v>
      </c>
      <c r="H13" s="44">
        <f>QUARTILE(Q13:EC13,2)</f>
        <v>4.6</v>
      </c>
      <c r="I13" s="44">
        <f>MIN(Q13:EC13)</f>
        <v>2</v>
      </c>
      <c r="J13" s="44">
        <f>MAX(Q13:EC13)</f>
        <v>7.3</v>
      </c>
      <c r="K13" s="44">
        <f>PERCENTILE(Q13:EC13,0.95)</f>
        <v>6.635</v>
      </c>
      <c r="L13" s="102" t="str">
        <f>IF(H13&gt;6,"A",IF(H13&gt;4,"B",IF(H13&gt;2.5,"C",IF(H13&gt;0.6,"D","E"))))</f>
        <v>B</v>
      </c>
      <c r="N13" s="116" t="s">
        <v>13</v>
      </c>
      <c r="O13" s="108"/>
      <c r="P13" t="s">
        <v>13</v>
      </c>
      <c r="Q13">
        <v>4.7</v>
      </c>
      <c r="R13">
        <v>6.5</v>
      </c>
      <c r="S13">
        <v>6.5</v>
      </c>
      <c r="T13">
        <v>6.3</v>
      </c>
      <c r="U13">
        <v>2.8</v>
      </c>
      <c r="V13">
        <v>4.9</v>
      </c>
      <c r="W13">
        <v>5.2</v>
      </c>
      <c r="X13">
        <v>4.6</v>
      </c>
      <c r="Y13">
        <v>5.6</v>
      </c>
      <c r="Z13">
        <v>4.7</v>
      </c>
      <c r="AA13">
        <v>7.3</v>
      </c>
      <c r="AB13">
        <v>6.65</v>
      </c>
      <c r="AC13">
        <v>5.4</v>
      </c>
      <c r="AD13">
        <v>2</v>
      </c>
      <c r="AE13">
        <v>3.6</v>
      </c>
      <c r="AF13">
        <v>2.7</v>
      </c>
      <c r="AG13">
        <v>4.4</v>
      </c>
      <c r="AH13">
        <v>4.2</v>
      </c>
      <c r="AI13">
        <v>2.6</v>
      </c>
      <c r="AJ13">
        <v>2.7</v>
      </c>
      <c r="AK13">
        <v>2.9</v>
      </c>
      <c r="AL13">
        <v>4.4</v>
      </c>
      <c r="AM13">
        <v>3.3</v>
      </c>
    </row>
    <row r="14" spans="2:39" ht="12.75">
      <c r="B14" s="72"/>
      <c r="C14" s="95" t="s">
        <v>14</v>
      </c>
      <c r="D14" s="87">
        <f>COUNT(Q14:EC14)</f>
        <v>23</v>
      </c>
      <c r="E14" s="115">
        <f>AVERAGE(Q14:EC14)</f>
        <v>0.834782608695652</v>
      </c>
      <c r="F14" s="115">
        <f t="shared" si="0"/>
        <v>0.13532472112970478</v>
      </c>
      <c r="G14" s="115">
        <f>STDEV(Q14:EC14)</f>
        <v>0.33112575975708086</v>
      </c>
      <c r="H14" s="115">
        <f>QUARTILE(Q14:EC14,2)</f>
        <v>0.8</v>
      </c>
      <c r="I14" s="115">
        <f>MIN(Q14:EC14)</f>
        <v>0.3</v>
      </c>
      <c r="J14" s="115">
        <f>MAX(Q14:EC14)</f>
        <v>2</v>
      </c>
      <c r="K14" s="115">
        <f>PERCENTILE(Q14:EC14,0.95)</f>
        <v>1</v>
      </c>
      <c r="L14" s="102"/>
      <c r="N14" s="116" t="s">
        <v>95</v>
      </c>
      <c r="O14" s="108"/>
      <c r="P14" t="s">
        <v>95</v>
      </c>
      <c r="Q14">
        <v>1</v>
      </c>
      <c r="R14">
        <v>1</v>
      </c>
      <c r="S14">
        <v>1</v>
      </c>
      <c r="T14">
        <v>1</v>
      </c>
      <c r="U14">
        <v>1</v>
      </c>
      <c r="V14">
        <v>0.5</v>
      </c>
      <c r="W14">
        <v>0.6</v>
      </c>
      <c r="X14">
        <v>1</v>
      </c>
      <c r="Y14">
        <v>0.5</v>
      </c>
      <c r="Z14">
        <v>0.7</v>
      </c>
      <c r="AA14">
        <v>0.6</v>
      </c>
      <c r="AB14">
        <v>0.6</v>
      </c>
      <c r="AC14">
        <v>0.6</v>
      </c>
      <c r="AD14">
        <v>2</v>
      </c>
      <c r="AE14">
        <v>0.3</v>
      </c>
      <c r="AF14">
        <v>0.7</v>
      </c>
      <c r="AG14">
        <v>0.9</v>
      </c>
      <c r="AH14">
        <v>0.7</v>
      </c>
      <c r="AI14">
        <v>1</v>
      </c>
      <c r="AJ14">
        <v>1</v>
      </c>
      <c r="AK14">
        <v>0.8</v>
      </c>
      <c r="AL14">
        <v>0.7</v>
      </c>
      <c r="AM14">
        <v>1</v>
      </c>
    </row>
    <row r="15" spans="2:39" ht="12.75">
      <c r="B15" s="208" t="s">
        <v>267</v>
      </c>
      <c r="C15" s="8" t="s">
        <v>268</v>
      </c>
      <c r="D15" s="81">
        <f>COUNT(Q15:EC15)</f>
        <v>23</v>
      </c>
      <c r="E15" s="40">
        <f>AVERAGE(Q15:EC15)</f>
        <v>88.6086956521739</v>
      </c>
      <c r="F15" s="40">
        <f t="shared" si="0"/>
        <v>27.509057473814686</v>
      </c>
      <c r="G15" s="40">
        <f>STDEV(Q15:EC15)</f>
        <v>67.31185167185694</v>
      </c>
      <c r="H15" s="40">
        <f>QUARTILE(Q15:EC15,2)</f>
        <v>70</v>
      </c>
      <c r="I15" s="40">
        <f>MIN(Q15:EC15)</f>
        <v>5</v>
      </c>
      <c r="J15" s="40">
        <f>MAX(Q15:EC15)</f>
        <v>260</v>
      </c>
      <c r="K15" s="40">
        <f>PERCENTILE(Q15:EC15,0.95)</f>
        <v>212.9999999999999</v>
      </c>
      <c r="L15" s="106" t="str">
        <f>IF(H15&lt;10,"A",IF(H15&lt;130,"B",IF(H15&lt;260,"C",IF(H15&lt;550,"D","E"))))</f>
        <v>B</v>
      </c>
      <c r="N15" s="116" t="s">
        <v>255</v>
      </c>
      <c r="O15" s="108"/>
      <c r="P15" t="s">
        <v>255</v>
      </c>
      <c r="Q15">
        <v>50</v>
      </c>
      <c r="R15">
        <v>220</v>
      </c>
      <c r="S15">
        <v>140</v>
      </c>
      <c r="T15">
        <v>100</v>
      </c>
      <c r="U15">
        <v>120</v>
      </c>
      <c r="V15">
        <v>70</v>
      </c>
      <c r="W15">
        <v>50</v>
      </c>
      <c r="X15">
        <v>65</v>
      </c>
      <c r="Y15">
        <v>60</v>
      </c>
      <c r="Z15">
        <v>150</v>
      </c>
      <c r="AA15">
        <v>8</v>
      </c>
      <c r="AB15">
        <v>25</v>
      </c>
      <c r="AC15">
        <v>145</v>
      </c>
      <c r="AD15">
        <v>145</v>
      </c>
      <c r="AE15">
        <v>75</v>
      </c>
      <c r="AF15">
        <v>40</v>
      </c>
      <c r="AG15">
        <v>140</v>
      </c>
      <c r="AH15">
        <v>15</v>
      </c>
      <c r="AI15">
        <v>5</v>
      </c>
      <c r="AJ15">
        <v>260</v>
      </c>
      <c r="AK15">
        <v>60</v>
      </c>
      <c r="AL15">
        <v>80</v>
      </c>
      <c r="AM15">
        <v>15</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122</v>
      </c>
      <c r="F17" s="44">
        <f>CONFIDENCE(0.05,G17,D17)</f>
        <v>5.612482724222128</v>
      </c>
      <c r="G17" s="44">
        <f>STDEV(Q17:EC17)</f>
        <v>7.014271166700073</v>
      </c>
      <c r="H17" s="44">
        <f>QUARTILE(Q17:EC17,2)</f>
        <v>122.5</v>
      </c>
      <c r="I17" s="44">
        <f>MIN(Q17:EC17)</f>
        <v>112</v>
      </c>
      <c r="J17" s="44">
        <f>MAX(Q17:EC17)</f>
        <v>133</v>
      </c>
      <c r="K17" s="44">
        <f>PERCENTILE(Q17:EC17,0.95)</f>
        <v>130.75</v>
      </c>
      <c r="L17" s="102" t="str">
        <f>IF(H17&gt;120,"A",IF(H17&gt;100,"B",IF(H17&gt;80,"C",IF(H17&gt;60,"D","E"))))</f>
        <v>A</v>
      </c>
      <c r="N17" s="116" t="s">
        <v>17</v>
      </c>
      <c r="O17" s="108"/>
      <c r="P17" t="s">
        <v>17</v>
      </c>
      <c r="Q17">
        <v>121</v>
      </c>
      <c r="U17">
        <v>133</v>
      </c>
      <c r="X17">
        <v>124</v>
      </c>
      <c r="AB17">
        <v>124</v>
      </c>
      <c r="AF17">
        <v>118</v>
      </c>
      <c r="AJ17">
        <v>112</v>
      </c>
    </row>
    <row r="18" spans="2:36" ht="12.75">
      <c r="B18" s="74"/>
      <c r="C18" s="96" t="s">
        <v>18</v>
      </c>
      <c r="D18" s="81">
        <f>COUNT(Q18:EC18)</f>
        <v>6</v>
      </c>
      <c r="E18" s="44">
        <f>AVERAGE(Q18:EC18)</f>
        <v>6.543499999999999</v>
      </c>
      <c r="F18" s="44">
        <f>CONFIDENCE(0.05,G18,D18)</f>
        <v>0.5455214507778715</v>
      </c>
      <c r="G18" s="44">
        <f>STDEV(Q18:EC18)</f>
        <v>0.6817723227001914</v>
      </c>
      <c r="H18" s="44">
        <f>QUARTILE(Q18:EC18,2)</f>
        <v>6.555</v>
      </c>
      <c r="I18" s="44">
        <f>MIN(Q18:EC18)</f>
        <v>5.611</v>
      </c>
      <c r="J18" s="44">
        <f>MAX(Q18:EC18)</f>
        <v>7.66</v>
      </c>
      <c r="K18" s="44">
        <f>PERCENTILE(Q18:EC18,0.95)</f>
        <v>7.4275</v>
      </c>
      <c r="L18" s="105" t="str">
        <f>IF(H18&gt;6,"A",IF(H18&gt;5,"B",IF(H18&gt;4,"C",IF(H18&gt;3,"D","E"))))</f>
        <v>A</v>
      </c>
      <c r="N18" s="116" t="s">
        <v>18</v>
      </c>
      <c r="O18" s="108"/>
      <c r="P18" t="s">
        <v>18</v>
      </c>
      <c r="Q18">
        <v>6.73</v>
      </c>
      <c r="U18">
        <v>7.66</v>
      </c>
      <c r="X18">
        <v>6.15</v>
      </c>
      <c r="AB18">
        <v>6.46</v>
      </c>
      <c r="AF18">
        <v>6.65</v>
      </c>
      <c r="AJ18">
        <v>5.611</v>
      </c>
    </row>
    <row r="19" spans="2:36" ht="12.75">
      <c r="B19" s="71" t="s">
        <v>106</v>
      </c>
      <c r="C19" s="7" t="s">
        <v>19</v>
      </c>
      <c r="D19" s="86">
        <f>COUNT(Q19:EC19)</f>
        <v>7</v>
      </c>
      <c r="E19" s="113">
        <f>AVERAGE(Q19:EC19)</f>
        <v>8.859</v>
      </c>
      <c r="F19" s="113">
        <f>CONFIDENCE(0.05,G19,D19)</f>
        <v>0.652601017657893</v>
      </c>
      <c r="G19" s="113">
        <f>STDEV(Q19:EC19)</f>
        <v>0.8809447580107671</v>
      </c>
      <c r="H19" s="113">
        <f>QUARTILE(Q19:EC19,2)</f>
        <v>8.98</v>
      </c>
      <c r="I19" s="113">
        <f>MIN(Q19:EC19)</f>
        <v>7.64</v>
      </c>
      <c r="J19" s="113">
        <f>MAX(Q19:EC19)</f>
        <v>10</v>
      </c>
      <c r="K19" s="113">
        <f>PERCENTILE(Q19:EC19,0.95)</f>
        <v>9.97</v>
      </c>
      <c r="L19" s="102" t="str">
        <f>IF(H19&gt;8,"A",IF(H19&gt;6,"B",IF(H19&gt;4,"C",IF(H19&gt;2,"D","E"))))</f>
        <v>A</v>
      </c>
      <c r="N19" s="116" t="s">
        <v>96</v>
      </c>
      <c r="O19" s="108"/>
      <c r="P19" t="s">
        <v>96</v>
      </c>
      <c r="R19">
        <v>8.25</v>
      </c>
      <c r="S19">
        <v>7.64</v>
      </c>
      <c r="T19">
        <v>8.98</v>
      </c>
      <c r="X19">
        <v>9</v>
      </c>
      <c r="AB19">
        <v>9.9</v>
      </c>
      <c r="AF19">
        <v>10</v>
      </c>
      <c r="AJ19">
        <v>8.243</v>
      </c>
    </row>
    <row r="20" spans="2:36" ht="13.5" thickBot="1">
      <c r="B20" s="72"/>
      <c r="C20" s="97" t="s">
        <v>122</v>
      </c>
      <c r="D20" s="87">
        <f>COUNT(Q20:EC20)</f>
        <v>4</v>
      </c>
      <c r="E20" s="114">
        <f>AVERAGE(Q20:EC20)</f>
        <v>0</v>
      </c>
      <c r="F20" s="114" t="e">
        <f>CONFIDENCE(0.05,G20,D20)</f>
        <v>#NUM!</v>
      </c>
      <c r="G20" s="114">
        <f>STDEV(Q20:EC20)</f>
        <v>0</v>
      </c>
      <c r="H20" s="114">
        <f>QUARTILE(Q20:EC20,2)</f>
        <v>0</v>
      </c>
      <c r="I20" s="114">
        <f>MIN(Q20:EC20)</f>
        <v>0</v>
      </c>
      <c r="J20" s="114">
        <f>MAX(Q20:EC20)</f>
        <v>0</v>
      </c>
      <c r="K20" s="114">
        <f>PERCENTILE(Q20:EC20,0.95)</f>
        <v>0</v>
      </c>
      <c r="L20" s="105"/>
      <c r="N20" s="116" t="s">
        <v>97</v>
      </c>
      <c r="O20" s="108"/>
      <c r="P20" t="s">
        <v>97</v>
      </c>
      <c r="X20">
        <v>0</v>
      </c>
      <c r="AB20">
        <v>0</v>
      </c>
      <c r="AF20">
        <v>0</v>
      </c>
      <c r="AJ20">
        <v>0</v>
      </c>
    </row>
    <row r="21" spans="2:15" ht="12.75">
      <c r="B21" s="80"/>
      <c r="C21" s="89"/>
      <c r="D21" s="89"/>
      <c r="E21" s="89"/>
      <c r="F21" s="89"/>
      <c r="G21" s="89"/>
      <c r="H21" s="89"/>
      <c r="I21" s="89"/>
      <c r="J21" s="89"/>
      <c r="K21" s="89"/>
      <c r="L21" s="100"/>
      <c r="O21" s="108"/>
    </row>
    <row r="22" spans="2:15" ht="12.75">
      <c r="B22" s="210" t="s">
        <v>119</v>
      </c>
      <c r="C22" s="211"/>
      <c r="D22" s="211"/>
      <c r="E22" s="211"/>
      <c r="F22" s="211"/>
      <c r="G22" s="76" t="str">
        <f>'Combined Score Calcs'!V10</f>
        <v>A</v>
      </c>
      <c r="H22" s="39"/>
      <c r="I22" s="39"/>
      <c r="J22" s="39"/>
      <c r="K22" s="99"/>
      <c r="L22" s="90"/>
      <c r="N22" s="111"/>
      <c r="O22" s="108"/>
    </row>
    <row r="23" spans="2:17" ht="13.5" thickBot="1">
      <c r="B23" s="83"/>
      <c r="C23" s="84"/>
      <c r="D23" s="84"/>
      <c r="E23" s="84"/>
      <c r="F23" s="84"/>
      <c r="G23" s="84"/>
      <c r="H23" s="84"/>
      <c r="I23" s="84"/>
      <c r="J23" s="84"/>
      <c r="K23" s="84"/>
      <c r="L23" s="91"/>
      <c r="N23" s="111"/>
      <c r="O23" s="108"/>
      <c r="Q23" s="20"/>
    </row>
    <row r="24" spans="12:17" ht="12.75">
      <c r="L24" s="60"/>
      <c r="N24" s="111"/>
      <c r="O24" s="108"/>
      <c r="Q24" s="20"/>
    </row>
    <row r="25" spans="12:15" ht="12.75">
      <c r="L25" s="60"/>
      <c r="O25" s="108"/>
    </row>
    <row r="26" spans="12:15" ht="12.75">
      <c r="L26" s="60"/>
      <c r="O26" s="108"/>
    </row>
    <row r="27" spans="12:15" ht="12.75">
      <c r="L27" s="60"/>
      <c r="O27" s="108"/>
    </row>
    <row r="28" spans="7:15" ht="12.75">
      <c r="G28" t="s">
        <v>140</v>
      </c>
      <c r="H28" t="s">
        <v>141</v>
      </c>
      <c r="L28" s="60"/>
      <c r="O28" s="108"/>
    </row>
    <row r="29" spans="5:15" ht="12.75">
      <c r="E29" s="158"/>
      <c r="F29" s="153"/>
      <c r="G29" s="118" t="s">
        <v>21</v>
      </c>
      <c r="H29" s="136">
        <v>1.5</v>
      </c>
      <c r="I29" s="137">
        <v>10</v>
      </c>
      <c r="J29" s="119"/>
      <c r="K29" s="119"/>
      <c r="L29" s="60"/>
      <c r="O29" s="108"/>
    </row>
    <row r="30" spans="5:12" ht="12.75">
      <c r="E30" s="158"/>
      <c r="F30" s="153"/>
      <c r="G30" s="122" t="s">
        <v>22</v>
      </c>
      <c r="H30" s="137">
        <v>65</v>
      </c>
      <c r="I30" s="137">
        <v>270</v>
      </c>
      <c r="J30" s="119"/>
      <c r="K30" s="119"/>
      <c r="L30" s="60"/>
    </row>
    <row r="31" spans="5:12" ht="12.75">
      <c r="E31" s="158"/>
      <c r="F31" s="153"/>
      <c r="G31" s="122" t="s">
        <v>23</v>
      </c>
      <c r="H31" s="137">
        <v>50</v>
      </c>
      <c r="I31" s="137">
        <v>220</v>
      </c>
      <c r="J31" s="119"/>
      <c r="K31" s="119"/>
      <c r="L31" s="60"/>
    </row>
    <row r="32" spans="5:12" ht="12.75">
      <c r="E32" s="158"/>
      <c r="F32" s="153"/>
      <c r="G32" s="122" t="s">
        <v>24</v>
      </c>
      <c r="H32" s="137">
        <v>200</v>
      </c>
      <c r="I32" s="137">
        <v>210</v>
      </c>
      <c r="J32" s="119"/>
      <c r="K32" s="119"/>
      <c r="L32" s="60"/>
    </row>
    <row r="33" spans="7:12" ht="12.75">
      <c r="G33" s="122"/>
      <c r="H33" t="s">
        <v>137</v>
      </c>
      <c r="I33" t="s">
        <v>138</v>
      </c>
      <c r="L33" s="60"/>
    </row>
    <row r="34" ht="12.75">
      <c r="L34" s="60"/>
    </row>
    <row r="35" ht="12.75">
      <c r="L35" s="60"/>
    </row>
    <row r="36" spans="5:12" ht="12.75">
      <c r="E36" s="158"/>
      <c r="F36" s="153"/>
      <c r="G36" s="119"/>
      <c r="H36" s="119"/>
      <c r="I36" s="119"/>
      <c r="J36" s="119"/>
      <c r="K36" s="119"/>
      <c r="L36" s="60"/>
    </row>
    <row r="37" spans="5:12" ht="12.75">
      <c r="E37" s="158"/>
      <c r="F37" s="153"/>
      <c r="G37" s="119"/>
      <c r="H37" s="119"/>
      <c r="I37" s="119"/>
      <c r="J37" s="119"/>
      <c r="K37" s="119"/>
      <c r="L37" s="60"/>
    </row>
    <row r="38" spans="5:12" ht="12.75">
      <c r="E38" s="158"/>
      <c r="F38" s="153"/>
      <c r="G38" s="119"/>
      <c r="H38" s="119"/>
      <c r="I38" s="119"/>
      <c r="J38" s="119"/>
      <c r="K38" s="119"/>
      <c r="L38" s="60"/>
    </row>
    <row r="39" spans="5:12" ht="12.75">
      <c r="E39" s="158"/>
      <c r="F39" s="153"/>
      <c r="G39" s="119"/>
      <c r="H39" s="119"/>
      <c r="I39" s="119"/>
      <c r="J39" s="119"/>
      <c r="K39" s="119"/>
      <c r="L39" s="60"/>
    </row>
    <row r="40" spans="5:12" ht="12.75">
      <c r="E40" s="158"/>
      <c r="F40" s="153"/>
      <c r="G40" s="119"/>
      <c r="H40" s="119"/>
      <c r="I40" s="119"/>
      <c r="J40" s="119"/>
      <c r="K40" s="119"/>
      <c r="L40" s="60"/>
    </row>
    <row r="41" spans="5:12" ht="12.75">
      <c r="E41" s="158"/>
      <c r="F41" s="153"/>
      <c r="G41" s="119"/>
      <c r="H41" s="119"/>
      <c r="I41" s="119"/>
      <c r="J41" s="119"/>
      <c r="K41" s="119"/>
      <c r="L41" s="60"/>
    </row>
    <row r="42" ht="12.75">
      <c r="L42" s="60"/>
    </row>
  </sheetData>
  <mergeCells count="1">
    <mergeCell ref="B22:F22"/>
  </mergeCells>
  <printOptions/>
  <pageMargins left="0.75" right="0.75" top="1" bottom="1" header="0.5" footer="0.5"/>
  <pageSetup horizontalDpi="600" verticalDpi="600" orientation="portrait" paperSize="133" r:id="rId1"/>
</worksheet>
</file>

<file path=xl/worksheets/sheet12.xml><?xml version="1.0" encoding="utf-8"?>
<worksheet xmlns="http://schemas.openxmlformats.org/spreadsheetml/2006/main" xmlns:r="http://schemas.openxmlformats.org/officeDocument/2006/relationships">
  <dimension ref="B1:AQ42"/>
  <sheetViews>
    <sheetView workbookViewId="0" topLeftCell="A1">
      <selection activeCell="B3" sqref="B3:L23"/>
    </sheetView>
  </sheetViews>
  <sheetFormatPr defaultColWidth="9.140625" defaultRowHeight="12.75"/>
  <cols>
    <col min="3" max="3" width="28.7109375" style="0" bestFit="1" customWidth="1"/>
    <col min="14" max="14" width="34.140625" style="0" customWidth="1"/>
    <col min="16" max="16" width="33.57421875" style="0" customWidth="1"/>
    <col min="17" max="17" width="16.28125" style="0" customWidth="1"/>
    <col min="18" max="39" width="15.421875" style="0" bestFit="1" customWidth="1"/>
  </cols>
  <sheetData>
    <row r="1" spans="2:15" ht="15.75">
      <c r="B1" s="107" t="s">
        <v>154</v>
      </c>
      <c r="O1" s="109" t="s">
        <v>125</v>
      </c>
    </row>
    <row r="2" spans="12:39" ht="13.5" thickBot="1">
      <c r="L2" s="60"/>
      <c r="N2" s="116" t="s">
        <v>84</v>
      </c>
      <c r="O2" s="110"/>
      <c r="P2" t="s">
        <v>84</v>
      </c>
      <c r="Q2" t="s">
        <v>59</v>
      </c>
      <c r="R2" t="s">
        <v>59</v>
      </c>
      <c r="S2" t="s">
        <v>59</v>
      </c>
      <c r="T2" t="s">
        <v>59</v>
      </c>
      <c r="U2" t="s">
        <v>59</v>
      </c>
      <c r="V2" t="s">
        <v>59</v>
      </c>
      <c r="W2" t="s">
        <v>59</v>
      </c>
      <c r="X2" t="s">
        <v>59</v>
      </c>
      <c r="Y2" t="s">
        <v>59</v>
      </c>
      <c r="Z2" t="s">
        <v>59</v>
      </c>
      <c r="AA2" t="s">
        <v>59</v>
      </c>
      <c r="AB2" t="s">
        <v>59</v>
      </c>
      <c r="AC2" t="s">
        <v>59</v>
      </c>
      <c r="AD2" t="s">
        <v>59</v>
      </c>
      <c r="AE2" t="s">
        <v>59</v>
      </c>
      <c r="AF2" t="s">
        <v>59</v>
      </c>
      <c r="AG2" t="s">
        <v>59</v>
      </c>
      <c r="AH2" t="s">
        <v>59</v>
      </c>
      <c r="AI2" t="s">
        <v>59</v>
      </c>
      <c r="AJ2" t="s">
        <v>59</v>
      </c>
      <c r="AK2" t="s">
        <v>59</v>
      </c>
      <c r="AL2" t="s">
        <v>59</v>
      </c>
      <c r="AM2" t="s">
        <v>59</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36832.62152777778</v>
      </c>
      <c r="R3" s="64">
        <v>36921.5625</v>
      </c>
      <c r="S3" s="64">
        <v>37012.56597222222</v>
      </c>
      <c r="T3" s="64">
        <v>37109.572916666664</v>
      </c>
      <c r="U3" s="64">
        <v>37223.48263888889</v>
      </c>
      <c r="V3" s="64">
        <v>37384.51388888889</v>
      </c>
      <c r="W3" s="64">
        <v>37475.475694444445</v>
      </c>
      <c r="X3" s="64">
        <v>37586.6875</v>
      </c>
      <c r="Y3" s="64">
        <v>37649.53125</v>
      </c>
      <c r="Z3" s="64">
        <v>37747.48263888889</v>
      </c>
      <c r="AA3" s="64">
        <v>37838.48263888889</v>
      </c>
      <c r="AB3" s="64">
        <v>37951.569444444445</v>
      </c>
      <c r="AC3" s="64">
        <v>38028.489583333336</v>
      </c>
      <c r="AD3" s="64">
        <v>38112.458333333336</v>
      </c>
      <c r="AE3" s="64">
        <v>38203.447916666664</v>
      </c>
      <c r="AF3" s="64">
        <v>38336.50347222222</v>
      </c>
      <c r="AG3" s="64">
        <v>38393.68402777778</v>
      </c>
      <c r="AH3" s="64">
        <v>38477.69861111111</v>
      </c>
      <c r="AI3" s="64">
        <v>38594.48819444444</v>
      </c>
      <c r="AJ3" s="64">
        <v>38680.569444444445</v>
      </c>
      <c r="AK3" s="64">
        <v>38777.46875</v>
      </c>
      <c r="AL3" s="64">
        <v>38870.464583333334</v>
      </c>
      <c r="AM3" s="64">
        <v>38960.60833333333</v>
      </c>
      <c r="AO3" s="64"/>
      <c r="AP3" s="64"/>
      <c r="AQ3" s="64"/>
    </row>
    <row r="4" spans="2:39" ht="12.75">
      <c r="B4" s="68" t="s">
        <v>103</v>
      </c>
      <c r="C4" s="93" t="s">
        <v>4</v>
      </c>
      <c r="D4" s="81">
        <f>COUNT(Q4:EC4)</f>
        <v>20</v>
      </c>
      <c r="E4" s="82">
        <f>AVERAGE(Q4:EC4)</f>
        <v>0.08065</v>
      </c>
      <c r="F4" s="82">
        <f aca="true" t="shared" si="0" ref="F4:F15">CONFIDENCE(0.05,G4,D4)</f>
        <v>0.029462412088164542</v>
      </c>
      <c r="G4" s="82">
        <f>STDEV(Q4:EC4)</f>
        <v>0.06722568040015035</v>
      </c>
      <c r="H4" s="82">
        <f>QUARTILE(Q4:EC4,2)</f>
        <v>0.059</v>
      </c>
      <c r="I4" s="82">
        <f>MIN(Q4:EC4)</f>
        <v>0.008</v>
      </c>
      <c r="J4" s="82">
        <f>MAX(Q4:EC4)</f>
        <v>0.24</v>
      </c>
      <c r="K4" s="82">
        <f>PERCENTILE(Q4:EC4,0.95)</f>
        <v>0.19250000000000003</v>
      </c>
      <c r="L4" s="102" t="str">
        <f>IF((H4+H5)&lt;0.08,"A",IF((H4+H5)&lt;0.12,"B",IF((H4+H5)&lt;0.295,"C",IF((H4+H5)&lt;0.444,"D","E"))))</f>
        <v>A</v>
      </c>
      <c r="N4" s="116" t="s">
        <v>86</v>
      </c>
      <c r="O4" s="108"/>
      <c r="P4" t="s">
        <v>86</v>
      </c>
      <c r="R4">
        <v>0.02</v>
      </c>
      <c r="S4">
        <v>0.12</v>
      </c>
      <c r="V4">
        <v>0.036</v>
      </c>
      <c r="W4">
        <v>0.078</v>
      </c>
      <c r="X4">
        <v>0.008</v>
      </c>
      <c r="Y4">
        <v>0.024</v>
      </c>
      <c r="Z4">
        <v>0.074</v>
      </c>
      <c r="AA4">
        <v>0.066</v>
      </c>
      <c r="AB4">
        <v>0.02</v>
      </c>
      <c r="AC4">
        <v>0.052</v>
      </c>
      <c r="AD4">
        <v>0.18</v>
      </c>
      <c r="AE4">
        <v>0.13</v>
      </c>
      <c r="AF4">
        <v>0.036</v>
      </c>
      <c r="AG4">
        <v>0.022</v>
      </c>
      <c r="AH4">
        <v>0.037</v>
      </c>
      <c r="AI4">
        <v>0.19</v>
      </c>
      <c r="AJ4">
        <v>0.035</v>
      </c>
      <c r="AK4">
        <v>0.085</v>
      </c>
      <c r="AL4">
        <v>0.24</v>
      </c>
      <c r="AM4">
        <v>0.16</v>
      </c>
    </row>
    <row r="5" spans="2:39" ht="12.75">
      <c r="B5" s="69"/>
      <c r="C5" s="5" t="s">
        <v>5</v>
      </c>
      <c r="D5" s="73">
        <f>COUNT(Q5:EC5)</f>
        <v>18</v>
      </c>
      <c r="E5" s="112">
        <f>AVERAGE(Q5:EC5)</f>
        <v>0.005555555555555557</v>
      </c>
      <c r="F5" s="112">
        <f t="shared" si="0"/>
        <v>0.0005066114890146503</v>
      </c>
      <c r="G5" s="112">
        <f>STDEV(Q5:EC5)</f>
        <v>0.001096637761106633</v>
      </c>
      <c r="H5" s="112">
        <f>QUARTILE(Q5:EC5,2)</f>
        <v>0.005</v>
      </c>
      <c r="I5" s="112">
        <f>MIN(Q5:EC5)</f>
        <v>0.005</v>
      </c>
      <c r="J5" s="112">
        <f>MAX(Q5:EC5)</f>
        <v>0.009</v>
      </c>
      <c r="K5" s="112">
        <f>PERCENTILE(Q5:EC5,0.95)</f>
        <v>0.0072999999999999975</v>
      </c>
      <c r="L5" s="102"/>
      <c r="N5" s="116" t="s">
        <v>87</v>
      </c>
      <c r="O5" s="108"/>
      <c r="P5" t="s">
        <v>87</v>
      </c>
      <c r="V5">
        <v>0.006</v>
      </c>
      <c r="W5">
        <v>0.009</v>
      </c>
      <c r="X5">
        <v>0.007</v>
      </c>
      <c r="Y5">
        <v>0.006</v>
      </c>
      <c r="Z5">
        <v>0.007</v>
      </c>
      <c r="AA5">
        <v>0.005</v>
      </c>
      <c r="AB5">
        <v>0.005</v>
      </c>
      <c r="AC5">
        <v>0.005</v>
      </c>
      <c r="AD5">
        <v>0.005</v>
      </c>
      <c r="AE5">
        <v>0.005</v>
      </c>
      <c r="AF5">
        <v>0.005</v>
      </c>
      <c r="AG5">
        <v>0.005</v>
      </c>
      <c r="AH5">
        <v>0.005</v>
      </c>
      <c r="AI5">
        <v>0.005</v>
      </c>
      <c r="AJ5">
        <v>0.005</v>
      </c>
      <c r="AK5">
        <v>0.005</v>
      </c>
      <c r="AL5">
        <v>0.005</v>
      </c>
      <c r="AM5">
        <v>0.005</v>
      </c>
    </row>
    <row r="6" spans="2:39" ht="12.75">
      <c r="B6" s="70"/>
      <c r="C6" s="94" t="s">
        <v>6</v>
      </c>
      <c r="D6" s="73">
        <f>COUNT(Q6:EC6)</f>
        <v>23</v>
      </c>
      <c r="E6" s="112">
        <f>AVERAGE(Q6:EC6)</f>
        <v>0.006260869565217393</v>
      </c>
      <c r="F6" s="112">
        <f t="shared" si="0"/>
        <v>0.0006428521178808663</v>
      </c>
      <c r="G6" s="112">
        <f>STDEV(Q6:EC6)</f>
        <v>0.0015729934203280243</v>
      </c>
      <c r="H6" s="112">
        <f>QUARTILE(Q6:EC6,2)</f>
        <v>0.006</v>
      </c>
      <c r="I6" s="112">
        <f>MIN(Q6:EC6)</f>
        <v>0.003</v>
      </c>
      <c r="J6" s="112">
        <f>MAX(Q6:EC6)</f>
        <v>0.011</v>
      </c>
      <c r="K6" s="112">
        <f>PERCENTILE(Q6:EC6,0.95)</f>
        <v>0.008</v>
      </c>
      <c r="L6" s="102" t="str">
        <f>IF((H6)&lt;0.005,"A",IF((H6)&lt;0.008,"B",IF((H6)&lt;0.026,"C",IF((H6)&lt;0.05,"D","E"))))</f>
        <v>B</v>
      </c>
      <c r="N6" s="116" t="s">
        <v>88</v>
      </c>
      <c r="O6" s="108"/>
      <c r="P6" t="s">
        <v>88</v>
      </c>
      <c r="Q6">
        <v>0.005</v>
      </c>
      <c r="R6">
        <v>0.005</v>
      </c>
      <c r="S6">
        <v>0.005</v>
      </c>
      <c r="T6">
        <v>0.007</v>
      </c>
      <c r="U6">
        <v>0.007</v>
      </c>
      <c r="V6">
        <v>0.006</v>
      </c>
      <c r="W6">
        <v>0.005</v>
      </c>
      <c r="X6">
        <v>0.005</v>
      </c>
      <c r="Y6">
        <v>0.006</v>
      </c>
      <c r="Z6">
        <v>0.008</v>
      </c>
      <c r="AA6">
        <v>0.011</v>
      </c>
      <c r="AB6">
        <v>0.006</v>
      </c>
      <c r="AC6">
        <v>0.007</v>
      </c>
      <c r="AD6">
        <v>0.007</v>
      </c>
      <c r="AE6">
        <v>0.008</v>
      </c>
      <c r="AF6">
        <v>0.005</v>
      </c>
      <c r="AG6">
        <v>0.007</v>
      </c>
      <c r="AH6">
        <v>0.003</v>
      </c>
      <c r="AI6">
        <v>0.007</v>
      </c>
      <c r="AJ6">
        <v>0.006</v>
      </c>
      <c r="AK6">
        <v>0.005</v>
      </c>
      <c r="AL6">
        <v>0.007</v>
      </c>
      <c r="AM6">
        <v>0.006</v>
      </c>
    </row>
    <row r="7" spans="2:39" ht="12.75">
      <c r="B7" s="71" t="s">
        <v>104</v>
      </c>
      <c r="C7" s="6" t="s">
        <v>7</v>
      </c>
      <c r="D7" s="86">
        <f>COUNT(Q7:EC7)</f>
        <v>23</v>
      </c>
      <c r="E7" s="113">
        <f>AVERAGE(Q7:EC7)</f>
        <v>8.211304347826086</v>
      </c>
      <c r="F7" s="113">
        <f t="shared" si="0"/>
        <v>0.17244594747219252</v>
      </c>
      <c r="G7" s="113">
        <f>STDEV(Q7:EC7)</f>
        <v>0.42195760609792426</v>
      </c>
      <c r="H7" s="113">
        <f>QUARTILE(Q7:EC7,2)</f>
        <v>8.2</v>
      </c>
      <c r="I7" s="113">
        <f>MIN(Q7:EC7)</f>
        <v>7.54</v>
      </c>
      <c r="J7" s="113">
        <f>MAX(Q7:EC7)</f>
        <v>9.2</v>
      </c>
      <c r="K7" s="113">
        <f>PERCENTILE(Q7:EC7,0.95)</f>
        <v>8.764999999999999</v>
      </c>
      <c r="L7" s="103" t="str">
        <f>IF(AND(7.2&lt;H7,H7&lt;9),"A",IF(AND(7.2&lt;=H7,H7&lt;=9),"B",IF(AND(6.5&lt;=H7,H7&lt;=9),"C",IF(AND(6.5&lt;=H7,H7&lt;=10),"D","E"))))</f>
        <v>A</v>
      </c>
      <c r="N7" s="116" t="s">
        <v>89</v>
      </c>
      <c r="O7" s="108"/>
      <c r="P7" t="s">
        <v>89</v>
      </c>
      <c r="Q7">
        <v>8.51</v>
      </c>
      <c r="R7">
        <v>8.48</v>
      </c>
      <c r="S7">
        <v>9.2</v>
      </c>
      <c r="T7">
        <v>8.6</v>
      </c>
      <c r="U7">
        <v>7.59</v>
      </c>
      <c r="V7">
        <v>8.78</v>
      </c>
      <c r="W7">
        <v>8.63</v>
      </c>
      <c r="X7">
        <v>8.55</v>
      </c>
      <c r="Y7">
        <v>8.4</v>
      </c>
      <c r="Z7">
        <v>8.31</v>
      </c>
      <c r="AA7">
        <v>8.03</v>
      </c>
      <c r="AB7">
        <v>8.12</v>
      </c>
      <c r="AC7">
        <v>7.89</v>
      </c>
      <c r="AD7">
        <v>7.54</v>
      </c>
      <c r="AE7">
        <v>7.99</v>
      </c>
      <c r="AF7">
        <v>8.12</v>
      </c>
      <c r="AG7">
        <v>8.21</v>
      </c>
      <c r="AH7">
        <v>7.92</v>
      </c>
      <c r="AI7">
        <v>8.14</v>
      </c>
      <c r="AJ7">
        <v>7.57</v>
      </c>
      <c r="AK7">
        <v>7.61</v>
      </c>
      <c r="AL7">
        <v>8.2</v>
      </c>
      <c r="AM7">
        <v>8.47</v>
      </c>
    </row>
    <row r="8" spans="2:39" ht="12.75">
      <c r="B8" s="71"/>
      <c r="C8" s="6" t="s">
        <v>8</v>
      </c>
      <c r="D8" s="81">
        <f>COUNT(Q8:EC8)</f>
        <v>23</v>
      </c>
      <c r="E8" s="44">
        <f>AVERAGE(Q8:EC8)</f>
        <v>11.214782608695652</v>
      </c>
      <c r="F8" s="44">
        <f t="shared" si="0"/>
        <v>1.1416704143068837</v>
      </c>
      <c r="G8" s="44">
        <f>STDEV(Q8:EC8)</f>
        <v>2.793550802644635</v>
      </c>
      <c r="H8" s="44">
        <f>QUARTILE(Q8:EC8,2)</f>
        <v>11.5</v>
      </c>
      <c r="I8" s="44">
        <f>MIN(Q8:EC8)</f>
        <v>6.7</v>
      </c>
      <c r="J8" s="44">
        <f>MAX(Q8:EC8)</f>
        <v>17</v>
      </c>
      <c r="K8" s="44">
        <f>PERCENTILE(Q8:EC8,0.95)</f>
        <v>15.159999999999998</v>
      </c>
      <c r="L8" s="102" t="str">
        <f>IF(H8&lt;18,"A",IF(H8&lt;20,"B",IF(H8&lt;22,"C",IF(H8&lt;25,"D","E"))))</f>
        <v>A</v>
      </c>
      <c r="N8" s="116" t="s">
        <v>90</v>
      </c>
      <c r="O8" s="108"/>
      <c r="P8" t="s">
        <v>90</v>
      </c>
      <c r="Q8">
        <v>14.2</v>
      </c>
      <c r="R8">
        <v>14.8</v>
      </c>
      <c r="S8">
        <v>11.7</v>
      </c>
      <c r="T8">
        <v>7.3</v>
      </c>
      <c r="U8">
        <v>11.2</v>
      </c>
      <c r="V8">
        <v>9.82</v>
      </c>
      <c r="W8">
        <v>8.5</v>
      </c>
      <c r="X8">
        <v>15.2</v>
      </c>
      <c r="Y8">
        <v>14.1</v>
      </c>
      <c r="Z8">
        <v>7.7</v>
      </c>
      <c r="AA8">
        <v>9</v>
      </c>
      <c r="AB8">
        <v>11.9</v>
      </c>
      <c r="AC8">
        <v>13.7</v>
      </c>
      <c r="AD8">
        <v>11</v>
      </c>
      <c r="AE8">
        <v>6.7</v>
      </c>
      <c r="AF8">
        <v>12</v>
      </c>
      <c r="AG8">
        <v>17</v>
      </c>
      <c r="AH8">
        <v>11.5</v>
      </c>
      <c r="AI8">
        <v>9.3</v>
      </c>
      <c r="AJ8">
        <v>11.73</v>
      </c>
      <c r="AK8">
        <v>12.64</v>
      </c>
      <c r="AL8">
        <v>7.65</v>
      </c>
      <c r="AM8">
        <v>9.3</v>
      </c>
    </row>
    <row r="9" spans="2:39" ht="12.75">
      <c r="B9" s="71"/>
      <c r="C9" s="7" t="s">
        <v>9</v>
      </c>
      <c r="D9" s="81">
        <f>COUNT(Q9:EC9)</f>
        <v>23</v>
      </c>
      <c r="E9" s="44">
        <f>AVERAGE(Q9:EC9)</f>
        <v>105.75217391304346</v>
      </c>
      <c r="F9" s="44">
        <f t="shared" si="0"/>
        <v>2.2239371362487432</v>
      </c>
      <c r="G9" s="44">
        <f>STDEV(Q9:EC9)</f>
        <v>5.441746842297434</v>
      </c>
      <c r="H9" s="44">
        <f>QUARTILE(Q9:EC9,2)</f>
        <v>104.6</v>
      </c>
      <c r="I9" s="44">
        <f>MIN(Q9:EC9)</f>
        <v>98.2</v>
      </c>
      <c r="J9" s="44">
        <f>MAX(Q9:EC9)</f>
        <v>117</v>
      </c>
      <c r="K9" s="44">
        <f>PERCENTILE(Q9:EC9,0.95)</f>
        <v>116.02999999999999</v>
      </c>
      <c r="L9" s="104" t="str">
        <f>IF(AND(99&lt;=H9,H9&lt;=103),"A",IF(AND(98&lt;=H9,H9&lt;=105),"B",IF(H9&gt;90,"C",IF(H9&gt;80,"D","E"))))</f>
        <v>B</v>
      </c>
      <c r="N9" s="116" t="s">
        <v>91</v>
      </c>
      <c r="O9" s="108"/>
      <c r="P9" t="s">
        <v>91</v>
      </c>
      <c r="Q9">
        <v>98.4</v>
      </c>
      <c r="R9">
        <v>111.7</v>
      </c>
      <c r="S9">
        <v>107</v>
      </c>
      <c r="T9">
        <v>113.6</v>
      </c>
      <c r="U9">
        <v>101.2</v>
      </c>
      <c r="V9">
        <v>107.8</v>
      </c>
      <c r="W9">
        <v>113.1</v>
      </c>
      <c r="X9">
        <v>106.8</v>
      </c>
      <c r="Y9">
        <v>117</v>
      </c>
      <c r="Z9">
        <v>103.7</v>
      </c>
      <c r="AA9">
        <v>101.8</v>
      </c>
      <c r="AB9">
        <v>100.3</v>
      </c>
      <c r="AC9">
        <v>102.2</v>
      </c>
      <c r="AD9">
        <v>100.5</v>
      </c>
      <c r="AE9">
        <v>98.2</v>
      </c>
      <c r="AF9">
        <v>106.8</v>
      </c>
      <c r="AG9">
        <v>105.9</v>
      </c>
      <c r="AH9">
        <v>103.2</v>
      </c>
      <c r="AI9">
        <v>116.3</v>
      </c>
      <c r="AJ9">
        <v>106.9</v>
      </c>
      <c r="AK9">
        <v>104.2</v>
      </c>
      <c r="AL9">
        <v>101.1</v>
      </c>
      <c r="AM9">
        <v>104.6</v>
      </c>
    </row>
    <row r="10" spans="2:39" ht="12.75">
      <c r="B10" s="71"/>
      <c r="C10" s="6" t="s">
        <v>10</v>
      </c>
      <c r="D10" s="81">
        <f>COUNT(Q10:EC10)</f>
        <v>23</v>
      </c>
      <c r="E10" s="44">
        <f>AVERAGE(Q10:EC10)</f>
        <v>11.633478260869568</v>
      </c>
      <c r="F10" s="44">
        <f t="shared" si="0"/>
        <v>0.38177831052139855</v>
      </c>
      <c r="G10" s="44">
        <f>STDEV(Q10:EC10)</f>
        <v>0.9341725005958535</v>
      </c>
      <c r="H10" s="44">
        <f>QUARTILE(Q10:EC10,2)</f>
        <v>11.57</v>
      </c>
      <c r="I10" s="44">
        <f>MIN(Q10:EC10)</f>
        <v>10.08</v>
      </c>
      <c r="J10" s="44">
        <f>MAX(Q10:EC10)</f>
        <v>13.65</v>
      </c>
      <c r="K10" s="44">
        <f>PERCENTILE(Q10:EC10,0.95)</f>
        <v>13.322</v>
      </c>
      <c r="L10" s="102"/>
      <c r="N10" s="116" t="s">
        <v>92</v>
      </c>
      <c r="O10" s="108"/>
      <c r="P10" t="s">
        <v>92</v>
      </c>
      <c r="Q10">
        <v>10.08</v>
      </c>
      <c r="R10">
        <v>11.33</v>
      </c>
      <c r="S10">
        <v>11.6</v>
      </c>
      <c r="T10">
        <v>13.65</v>
      </c>
      <c r="U10">
        <v>11.1</v>
      </c>
      <c r="V10">
        <v>12.21</v>
      </c>
      <c r="W10">
        <v>13.25</v>
      </c>
      <c r="X10">
        <v>10.72</v>
      </c>
      <c r="Y10">
        <v>11.99</v>
      </c>
      <c r="Z10">
        <v>12.37</v>
      </c>
      <c r="AA10">
        <v>11.76</v>
      </c>
      <c r="AB10">
        <v>10.82</v>
      </c>
      <c r="AC10">
        <v>10.59</v>
      </c>
      <c r="AD10">
        <v>11.08</v>
      </c>
      <c r="AE10">
        <v>12</v>
      </c>
      <c r="AF10">
        <v>11.51</v>
      </c>
      <c r="AG10">
        <v>10.23</v>
      </c>
      <c r="AH10">
        <v>11.24</v>
      </c>
      <c r="AI10">
        <v>13.33</v>
      </c>
      <c r="AJ10">
        <v>11.57</v>
      </c>
      <c r="AK10">
        <v>11.06</v>
      </c>
      <c r="AL10">
        <v>12.08</v>
      </c>
      <c r="AM10">
        <v>12</v>
      </c>
    </row>
    <row r="11" spans="2:39" ht="12.75">
      <c r="B11" s="72"/>
      <c r="C11" s="95" t="s">
        <v>11</v>
      </c>
      <c r="D11" s="87">
        <f>COUNT(Q11:EC11)</f>
        <v>23</v>
      </c>
      <c r="E11" s="115">
        <f>AVERAGE(Q11:EC11)</f>
        <v>201.22608695652173</v>
      </c>
      <c r="F11" s="115">
        <f t="shared" si="0"/>
        <v>6.3072659351734455</v>
      </c>
      <c r="G11" s="115">
        <f>STDEV(Q11:EC11)</f>
        <v>15.433235016774935</v>
      </c>
      <c r="H11" s="115">
        <f>QUARTILE(Q11:EC11,2)</f>
        <v>201</v>
      </c>
      <c r="I11" s="115">
        <f>MIN(Q11:EC11)</f>
        <v>149</v>
      </c>
      <c r="J11" s="115">
        <f>MAX(Q11:EC11)</f>
        <v>221</v>
      </c>
      <c r="K11" s="115">
        <f>PERCENTILE(Q11:EC11,0.95)</f>
        <v>216.98999999999998</v>
      </c>
      <c r="L11" s="105"/>
      <c r="N11" s="116" t="s">
        <v>93</v>
      </c>
      <c r="O11" s="108"/>
      <c r="P11" t="s">
        <v>93</v>
      </c>
      <c r="Q11">
        <v>210.1</v>
      </c>
      <c r="R11">
        <v>215.4</v>
      </c>
      <c r="S11">
        <v>217.1</v>
      </c>
      <c r="T11">
        <v>191.5</v>
      </c>
      <c r="U11">
        <v>184.1</v>
      </c>
      <c r="V11">
        <v>214</v>
      </c>
      <c r="W11">
        <v>202</v>
      </c>
      <c r="X11">
        <v>209</v>
      </c>
      <c r="Y11">
        <v>216</v>
      </c>
      <c r="Z11">
        <v>207</v>
      </c>
      <c r="AA11">
        <v>201</v>
      </c>
      <c r="AB11">
        <v>201</v>
      </c>
      <c r="AC11">
        <v>201</v>
      </c>
      <c r="AD11">
        <v>149</v>
      </c>
      <c r="AE11">
        <v>184</v>
      </c>
      <c r="AF11">
        <v>201</v>
      </c>
      <c r="AG11">
        <v>201</v>
      </c>
      <c r="AH11">
        <v>210</v>
      </c>
      <c r="AI11">
        <v>189</v>
      </c>
      <c r="AJ11">
        <v>212</v>
      </c>
      <c r="AK11">
        <v>221</v>
      </c>
      <c r="AL11">
        <v>200</v>
      </c>
      <c r="AM11">
        <v>192</v>
      </c>
    </row>
    <row r="12" spans="2:39" ht="12.75">
      <c r="B12" s="68" t="s">
        <v>105</v>
      </c>
      <c r="C12" s="4" t="s">
        <v>12</v>
      </c>
      <c r="D12" s="81">
        <f>COUNT(Q12:EC12)</f>
        <v>23</v>
      </c>
      <c r="E12" s="82">
        <f>AVERAGE(Q12:EC12)</f>
        <v>0.9456521739130431</v>
      </c>
      <c r="F12" s="82">
        <f t="shared" si="0"/>
        <v>0.19728521851025674</v>
      </c>
      <c r="G12" s="82">
        <f>STDEV(Q12:EC12)</f>
        <v>0.4827367632661679</v>
      </c>
      <c r="H12" s="82">
        <f>QUARTILE(Q12:EC12,2)</f>
        <v>0.73</v>
      </c>
      <c r="I12" s="82">
        <f>MIN(Q12:EC12)</f>
        <v>0.4</v>
      </c>
      <c r="J12" s="82">
        <f>MAX(Q12:EC12)</f>
        <v>2.01</v>
      </c>
      <c r="K12" s="82">
        <f>PERCENTILE(Q12:EC12,0.95)</f>
        <v>1.924</v>
      </c>
      <c r="L12" s="102" t="str">
        <f>IF(H12&lt;1,"A",IF(H12&lt;2,"B",IF(H12&lt;3,"C",IF(H12&lt;5,"D","E"))))</f>
        <v>A</v>
      </c>
      <c r="N12" s="116" t="s">
        <v>94</v>
      </c>
      <c r="O12" s="108"/>
      <c r="P12" t="s">
        <v>94</v>
      </c>
      <c r="Q12">
        <v>0.69</v>
      </c>
      <c r="R12">
        <v>1.04</v>
      </c>
      <c r="S12">
        <v>0.4</v>
      </c>
      <c r="T12">
        <v>0.5</v>
      </c>
      <c r="U12">
        <v>1.07</v>
      </c>
      <c r="V12">
        <v>0.71</v>
      </c>
      <c r="W12">
        <v>0.57</v>
      </c>
      <c r="X12">
        <v>0.89</v>
      </c>
      <c r="Y12">
        <v>0.73</v>
      </c>
      <c r="Z12">
        <v>0.52</v>
      </c>
      <c r="AA12">
        <v>0.6</v>
      </c>
      <c r="AB12">
        <v>0.59</v>
      </c>
      <c r="AC12">
        <v>0.5</v>
      </c>
      <c r="AD12">
        <v>1.93</v>
      </c>
      <c r="AE12">
        <v>1.38</v>
      </c>
      <c r="AF12">
        <v>0.61</v>
      </c>
      <c r="AG12">
        <v>0.75</v>
      </c>
      <c r="AH12">
        <v>0.69</v>
      </c>
      <c r="AI12">
        <v>1.11</v>
      </c>
      <c r="AJ12">
        <v>1.87</v>
      </c>
      <c r="AK12">
        <v>1.16</v>
      </c>
      <c r="AL12">
        <v>1.43</v>
      </c>
      <c r="AM12">
        <v>2.01</v>
      </c>
    </row>
    <row r="13" spans="2:39" ht="12.75">
      <c r="B13" s="71"/>
      <c r="C13" s="6" t="s">
        <v>13</v>
      </c>
      <c r="D13" s="81">
        <f>COUNT(Q13:EC13)</f>
        <v>22</v>
      </c>
      <c r="E13" s="44">
        <f>AVERAGE(Q13:EC13)</f>
        <v>5.388636363636364</v>
      </c>
      <c r="F13" s="44">
        <f t="shared" si="0"/>
        <v>0.6897928847601819</v>
      </c>
      <c r="G13" s="44">
        <f>STDEV(Q13:EC13)</f>
        <v>1.650752484848583</v>
      </c>
      <c r="H13" s="44">
        <f>QUARTILE(Q13:EC13,2)</f>
        <v>5.25</v>
      </c>
      <c r="I13" s="44">
        <f>MIN(Q13:EC13)</f>
        <v>2.75</v>
      </c>
      <c r="J13" s="44">
        <f>MAX(Q13:EC13)</f>
        <v>8.1</v>
      </c>
      <c r="K13" s="44">
        <f>PERCENTILE(Q13:EC13,0.95)</f>
        <v>7.3</v>
      </c>
      <c r="L13" s="102" t="str">
        <f>IF(H13&gt;6,"A",IF(H13&gt;4,"B",IF(H13&gt;2.5,"C",IF(H13&gt;0.6,"D","E"))))</f>
        <v>B</v>
      </c>
      <c r="N13" s="116" t="s">
        <v>13</v>
      </c>
      <c r="O13" s="108"/>
      <c r="P13" t="s">
        <v>13</v>
      </c>
      <c r="Q13">
        <v>4.45</v>
      </c>
      <c r="R13">
        <v>6.5</v>
      </c>
      <c r="S13">
        <v>6.4</v>
      </c>
      <c r="T13">
        <v>7.3</v>
      </c>
      <c r="U13">
        <v>4.2</v>
      </c>
      <c r="V13">
        <v>6.8</v>
      </c>
      <c r="W13">
        <v>6.9</v>
      </c>
      <c r="X13">
        <v>7.3</v>
      </c>
      <c r="Y13">
        <v>8.1</v>
      </c>
      <c r="Z13">
        <v>7.2</v>
      </c>
      <c r="AA13">
        <v>7.1</v>
      </c>
      <c r="AB13">
        <v>6.15</v>
      </c>
      <c r="AC13">
        <v>5.6</v>
      </c>
      <c r="AD13">
        <v>2.75</v>
      </c>
      <c r="AE13">
        <v>4</v>
      </c>
      <c r="AF13">
        <v>4.9</v>
      </c>
      <c r="AG13">
        <v>3.8</v>
      </c>
      <c r="AH13">
        <v>4.5</v>
      </c>
      <c r="AI13">
        <v>2.9</v>
      </c>
      <c r="AK13">
        <v>4.8</v>
      </c>
      <c r="AL13">
        <v>3</v>
      </c>
      <c r="AM13">
        <v>3.9</v>
      </c>
    </row>
    <row r="14" spans="2:39" ht="12.75">
      <c r="B14" s="72"/>
      <c r="C14" s="95" t="s">
        <v>14</v>
      </c>
      <c r="D14" s="87">
        <f>COUNT(Q14:EC14)</f>
        <v>22</v>
      </c>
      <c r="E14" s="115">
        <f>AVERAGE(Q14:EC14)</f>
        <v>0.7954545454545454</v>
      </c>
      <c r="F14" s="115">
        <f t="shared" si="0"/>
        <v>0.15229786825665453</v>
      </c>
      <c r="G14" s="115">
        <f>STDEV(Q14:EC14)</f>
        <v>0.36446604483202255</v>
      </c>
      <c r="H14" s="115">
        <f>QUARTILE(Q14:EC14,2)</f>
        <v>0.75</v>
      </c>
      <c r="I14" s="115">
        <f>MIN(Q14:EC14)</f>
        <v>0.3</v>
      </c>
      <c r="J14" s="115">
        <f>MAX(Q14:EC14)</f>
        <v>2</v>
      </c>
      <c r="K14" s="115">
        <f>PERCENTILE(Q14:EC14,0.95)</f>
        <v>1</v>
      </c>
      <c r="L14" s="102"/>
      <c r="N14" s="116" t="s">
        <v>95</v>
      </c>
      <c r="O14" s="108"/>
      <c r="P14" t="s">
        <v>95</v>
      </c>
      <c r="Q14">
        <v>1</v>
      </c>
      <c r="R14">
        <v>2</v>
      </c>
      <c r="S14">
        <v>1</v>
      </c>
      <c r="U14">
        <v>0.8</v>
      </c>
      <c r="V14">
        <v>0.4</v>
      </c>
      <c r="W14">
        <v>0.3</v>
      </c>
      <c r="X14">
        <v>1</v>
      </c>
      <c r="Y14">
        <v>0.6</v>
      </c>
      <c r="Z14">
        <v>0.7</v>
      </c>
      <c r="AA14">
        <v>0.5</v>
      </c>
      <c r="AB14">
        <v>0.6</v>
      </c>
      <c r="AC14">
        <v>0.7</v>
      </c>
      <c r="AD14">
        <v>1</v>
      </c>
      <c r="AE14">
        <v>0.4</v>
      </c>
      <c r="AF14">
        <v>0.7</v>
      </c>
      <c r="AG14">
        <v>0.8</v>
      </c>
      <c r="AH14">
        <v>0.7</v>
      </c>
      <c r="AI14">
        <v>1</v>
      </c>
      <c r="AJ14">
        <v>1</v>
      </c>
      <c r="AK14">
        <v>1</v>
      </c>
      <c r="AL14">
        <v>0.3</v>
      </c>
      <c r="AM14">
        <v>1</v>
      </c>
    </row>
    <row r="15" spans="2:39" ht="12.75">
      <c r="B15" s="208" t="s">
        <v>267</v>
      </c>
      <c r="C15" s="8" t="s">
        <v>268</v>
      </c>
      <c r="D15" s="81">
        <f>COUNT(Q15:EC15)</f>
        <v>23</v>
      </c>
      <c r="E15" s="40">
        <f>AVERAGE(Q15:EC15)</f>
        <v>29.869565217391305</v>
      </c>
      <c r="F15" s="40">
        <f t="shared" si="0"/>
        <v>16.31203797988629</v>
      </c>
      <c r="G15" s="40">
        <f>STDEV(Q15:EC15)</f>
        <v>39.91388952576658</v>
      </c>
      <c r="H15" s="40">
        <f>QUARTILE(Q15:EC15,2)</f>
        <v>10</v>
      </c>
      <c r="I15" s="40">
        <f>MIN(Q15:EC15)</f>
        <v>5</v>
      </c>
      <c r="J15" s="40">
        <f>MAX(Q15:EC15)</f>
        <v>160</v>
      </c>
      <c r="K15" s="40">
        <f>PERCENTILE(Q15:EC15,0.95)</f>
        <v>103.49999999999997</v>
      </c>
      <c r="L15" s="106" t="str">
        <f>IF(H15&lt;10,"A",IF(H15&lt;130,"B",IF(H15&lt;260,"C",IF(H15&lt;550,"D","E"))))</f>
        <v>B</v>
      </c>
      <c r="N15" s="116" t="s">
        <v>255</v>
      </c>
      <c r="O15" s="108"/>
      <c r="P15" t="s">
        <v>255</v>
      </c>
      <c r="Q15">
        <v>10</v>
      </c>
      <c r="R15">
        <v>5</v>
      </c>
      <c r="S15">
        <v>25</v>
      </c>
      <c r="T15">
        <v>5</v>
      </c>
      <c r="U15">
        <v>35</v>
      </c>
      <c r="V15">
        <v>10</v>
      </c>
      <c r="W15">
        <v>10</v>
      </c>
      <c r="X15">
        <v>20</v>
      </c>
      <c r="Y15">
        <v>25</v>
      </c>
      <c r="Z15">
        <v>25</v>
      </c>
      <c r="AA15">
        <v>5</v>
      </c>
      <c r="AB15">
        <v>5</v>
      </c>
      <c r="AC15">
        <v>105</v>
      </c>
      <c r="AD15">
        <v>12</v>
      </c>
      <c r="AE15">
        <v>90</v>
      </c>
      <c r="AF15">
        <v>5</v>
      </c>
      <c r="AG15">
        <v>75</v>
      </c>
      <c r="AH15">
        <v>5</v>
      </c>
      <c r="AI15">
        <v>5</v>
      </c>
      <c r="AJ15">
        <v>160</v>
      </c>
      <c r="AK15">
        <v>10</v>
      </c>
      <c r="AL15">
        <v>30</v>
      </c>
      <c r="AM15">
        <v>10</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128.10783333333333</v>
      </c>
      <c r="F17" s="44">
        <f>CONFIDENCE(0.05,G17,D17)</f>
        <v>5.858017711421295</v>
      </c>
      <c r="G17" s="44">
        <f>STDEV(Q17:EC17)</f>
        <v>7.321131617903668</v>
      </c>
      <c r="H17" s="44">
        <f>QUARTILE(Q17:EC17,2)</f>
        <v>128</v>
      </c>
      <c r="I17" s="44">
        <f>MIN(Q17:EC17)</f>
        <v>116</v>
      </c>
      <c r="J17" s="44">
        <f>MAX(Q17:EC17)</f>
        <v>137.647</v>
      </c>
      <c r="K17" s="44">
        <f>PERCENTILE(Q17:EC17,0.95)</f>
        <v>136.48525</v>
      </c>
      <c r="L17" s="102" t="str">
        <f>IF(H17&gt;120,"A",IF(H17&gt;100,"B",IF(H17&gt;80,"C",IF(H17&gt;60,"D","E"))))</f>
        <v>A</v>
      </c>
      <c r="N17" s="116" t="s">
        <v>17</v>
      </c>
      <c r="O17" s="108"/>
      <c r="P17" t="s">
        <v>17</v>
      </c>
      <c r="Q17">
        <v>133</v>
      </c>
      <c r="U17">
        <v>127</v>
      </c>
      <c r="X17">
        <v>116</v>
      </c>
      <c r="AB17">
        <v>126</v>
      </c>
      <c r="AF17">
        <v>129</v>
      </c>
      <c r="AJ17">
        <v>137.647</v>
      </c>
    </row>
    <row r="18" spans="2:36" ht="12.75">
      <c r="B18" s="74"/>
      <c r="C18" s="96" t="s">
        <v>18</v>
      </c>
      <c r="D18" s="81">
        <f>COUNT(Q18:EC18)</f>
        <v>6</v>
      </c>
      <c r="E18" s="44">
        <f>AVERAGE(Q18:EC18)</f>
        <v>7.025833333333334</v>
      </c>
      <c r="F18" s="44">
        <f>CONFIDENCE(0.05,G18,D18)</f>
        <v>0.43902330413851304</v>
      </c>
      <c r="G18" s="44">
        <f>STDEV(Q18:EC18)</f>
        <v>0.5486749189334864</v>
      </c>
      <c r="H18" s="44">
        <f>QUARTILE(Q18:EC18,2)</f>
        <v>7.1875</v>
      </c>
      <c r="I18" s="44">
        <f>MIN(Q18:EC18)</f>
        <v>6.22</v>
      </c>
      <c r="J18" s="44">
        <f>MAX(Q18:EC18)</f>
        <v>7.57</v>
      </c>
      <c r="K18" s="44">
        <f>PERCENTILE(Q18:EC18,0.95)</f>
        <v>7.5475</v>
      </c>
      <c r="L18" s="105" t="str">
        <f>IF(H18&gt;6,"A",IF(H18&gt;5,"B",IF(H18&gt;4,"C",IF(H18&gt;3,"D","E"))))</f>
        <v>A</v>
      </c>
      <c r="N18" s="116" t="s">
        <v>18</v>
      </c>
      <c r="O18" s="108"/>
      <c r="P18" t="s">
        <v>18</v>
      </c>
      <c r="Q18">
        <v>6.51</v>
      </c>
      <c r="U18">
        <v>7.48</v>
      </c>
      <c r="X18">
        <v>6.22</v>
      </c>
      <c r="AB18">
        <v>7.32</v>
      </c>
      <c r="AF18">
        <v>7.57</v>
      </c>
      <c r="AJ18">
        <v>7.055</v>
      </c>
    </row>
    <row r="19" spans="2:39" ht="12.75">
      <c r="B19" s="71" t="s">
        <v>106</v>
      </c>
      <c r="C19" s="7" t="s">
        <v>19</v>
      </c>
      <c r="D19" s="86">
        <f>COUNT(Q19:EC19)</f>
        <v>8</v>
      </c>
      <c r="E19" s="113">
        <f>AVERAGE(Q19:EC19)</f>
        <v>8.537412499999999</v>
      </c>
      <c r="F19" s="113">
        <f>CONFIDENCE(0.05,G19,D19)</f>
        <v>0.7970903770245756</v>
      </c>
      <c r="G19" s="113">
        <f>STDEV(Q19:EC19)</f>
        <v>1.150282383265091</v>
      </c>
      <c r="H19" s="113">
        <f>QUARTILE(Q19:EC19,2)</f>
        <v>8.3</v>
      </c>
      <c r="I19" s="113">
        <f>MIN(Q19:EC19)</f>
        <v>6.5</v>
      </c>
      <c r="J19" s="113">
        <f>MAX(Q19:EC19)</f>
        <v>10</v>
      </c>
      <c r="K19" s="113">
        <f>PERCENTILE(Q19:EC19,0.95)</f>
        <v>10</v>
      </c>
      <c r="L19" s="102" t="str">
        <f>IF(H19&gt;8,"A",IF(H19&gt;6,"B",IF(H19&gt;4,"C",IF(H19&gt;2,"D","E"))))</f>
        <v>A</v>
      </c>
      <c r="N19" s="116" t="s">
        <v>96</v>
      </c>
      <c r="O19" s="108"/>
      <c r="P19" t="s">
        <v>96</v>
      </c>
      <c r="R19">
        <v>8.45</v>
      </c>
      <c r="S19">
        <v>8.15</v>
      </c>
      <c r="T19">
        <v>8.12</v>
      </c>
      <c r="X19">
        <v>6.5</v>
      </c>
      <c r="AB19">
        <v>10</v>
      </c>
      <c r="AF19">
        <v>10</v>
      </c>
      <c r="AJ19">
        <v>8.0393</v>
      </c>
      <c r="AM19">
        <v>9.04</v>
      </c>
    </row>
    <row r="20" spans="2:36" ht="13.5" thickBot="1">
      <c r="B20" s="72"/>
      <c r="C20" s="97" t="s">
        <v>122</v>
      </c>
      <c r="D20" s="87">
        <f>COUNT(Q20:EC20)</f>
        <v>4</v>
      </c>
      <c r="E20" s="114">
        <f>AVERAGE(Q20:EC20)</f>
        <v>1.25</v>
      </c>
      <c r="F20" s="114">
        <f>CONFIDENCE(0.05,G20,D20)</f>
        <v>2.4499549806750673</v>
      </c>
      <c r="G20" s="114">
        <f>STDEV(Q20:EC20)</f>
        <v>2.5</v>
      </c>
      <c r="H20" s="114">
        <f>QUARTILE(Q20:EC20,2)</f>
        <v>0</v>
      </c>
      <c r="I20" s="114">
        <f>MIN(Q20:EC20)</f>
        <v>0</v>
      </c>
      <c r="J20" s="114">
        <f>MAX(Q20:EC20)</f>
        <v>5</v>
      </c>
      <c r="K20" s="114">
        <f>PERCENTILE(Q20:EC20,0.95)</f>
        <v>4.249999999999998</v>
      </c>
      <c r="L20" s="105"/>
      <c r="N20" s="116" t="s">
        <v>97</v>
      </c>
      <c r="O20" s="108"/>
      <c r="P20" t="s">
        <v>97</v>
      </c>
      <c r="X20">
        <v>5</v>
      </c>
      <c r="AB20">
        <v>0</v>
      </c>
      <c r="AF20">
        <v>0</v>
      </c>
      <c r="AJ20">
        <v>0</v>
      </c>
    </row>
    <row r="21" spans="2:15" ht="12.75">
      <c r="B21" s="80"/>
      <c r="C21" s="89"/>
      <c r="D21" s="89"/>
      <c r="E21" s="89"/>
      <c r="F21" s="89"/>
      <c r="G21" s="89"/>
      <c r="H21" s="89"/>
      <c r="I21" s="89"/>
      <c r="J21" s="89"/>
      <c r="K21" s="89"/>
      <c r="L21" s="100"/>
      <c r="O21" s="108"/>
    </row>
    <row r="22" spans="2:17" ht="12.75">
      <c r="B22" s="210" t="s">
        <v>119</v>
      </c>
      <c r="C22" s="211"/>
      <c r="D22" s="211"/>
      <c r="E22" s="211"/>
      <c r="F22" s="211"/>
      <c r="G22" s="76" t="str">
        <f>'Combined Score Calcs'!U10</f>
        <v>A</v>
      </c>
      <c r="H22" s="39"/>
      <c r="I22" s="39"/>
      <c r="J22" s="39"/>
      <c r="K22" s="99"/>
      <c r="L22" s="90"/>
      <c r="N22" s="111"/>
      <c r="O22" s="108"/>
      <c r="Q22" s="20"/>
    </row>
    <row r="23" spans="2:17" ht="13.5" thickBot="1">
      <c r="B23" s="83"/>
      <c r="C23" s="84"/>
      <c r="D23" s="84"/>
      <c r="E23" s="84"/>
      <c r="F23" s="84"/>
      <c r="G23" s="84"/>
      <c r="H23" s="84"/>
      <c r="I23" s="84"/>
      <c r="J23" s="84"/>
      <c r="K23" s="84"/>
      <c r="L23" s="91"/>
      <c r="N23" s="111"/>
      <c r="O23" s="108"/>
      <c r="Q23" s="20"/>
    </row>
    <row r="24" spans="12:17" ht="12.75">
      <c r="L24" s="60"/>
      <c r="N24" s="111"/>
      <c r="O24" s="108"/>
      <c r="Q24" s="20"/>
    </row>
    <row r="25" spans="12:15" ht="12.75">
      <c r="L25" s="60"/>
      <c r="O25" s="108"/>
    </row>
    <row r="26" spans="12:15" ht="12.75">
      <c r="L26" s="60"/>
      <c r="O26" s="108"/>
    </row>
    <row r="27" spans="12:15" ht="12.75">
      <c r="L27" s="60"/>
      <c r="O27" s="108"/>
    </row>
    <row r="28" spans="7:15" ht="12.75">
      <c r="G28" t="s">
        <v>140</v>
      </c>
      <c r="H28" t="s">
        <v>141</v>
      </c>
      <c r="L28" s="60"/>
      <c r="O28" s="108"/>
    </row>
    <row r="29" spans="5:39" ht="12.75">
      <c r="E29" s="158"/>
      <c r="F29" s="153"/>
      <c r="G29" s="118" t="s">
        <v>21</v>
      </c>
      <c r="H29" s="136">
        <v>1.5</v>
      </c>
      <c r="I29" s="137">
        <v>10</v>
      </c>
      <c r="J29" s="119"/>
      <c r="K29" s="119"/>
      <c r="L29" s="60"/>
      <c r="O29" s="108"/>
      <c r="R29" s="64"/>
      <c r="S29" s="64"/>
      <c r="T29" s="64"/>
      <c r="U29" s="64"/>
      <c r="V29" s="64"/>
      <c r="W29" s="64"/>
      <c r="X29" s="64"/>
      <c r="Y29" s="64"/>
      <c r="Z29" s="64"/>
      <c r="AA29" s="64"/>
      <c r="AB29" s="64"/>
      <c r="AC29" s="64"/>
      <c r="AD29" s="64"/>
      <c r="AE29" s="64"/>
      <c r="AF29" s="64"/>
      <c r="AG29" s="64"/>
      <c r="AH29" s="64"/>
      <c r="AI29" s="64"/>
      <c r="AJ29" s="64"/>
      <c r="AM29" s="64"/>
    </row>
    <row r="30" spans="5:12" ht="12.75">
      <c r="E30" s="158"/>
      <c r="F30" s="153"/>
      <c r="G30" s="122" t="s">
        <v>22</v>
      </c>
      <c r="H30" s="137">
        <v>65</v>
      </c>
      <c r="I30" s="137">
        <v>270</v>
      </c>
      <c r="J30" s="119"/>
      <c r="K30" s="119"/>
      <c r="L30" s="60"/>
    </row>
    <row r="31" spans="5:12" ht="12.75">
      <c r="E31" s="158"/>
      <c r="F31" s="153"/>
      <c r="G31" s="122" t="s">
        <v>23</v>
      </c>
      <c r="H31" s="137">
        <v>50</v>
      </c>
      <c r="I31" s="137">
        <v>220</v>
      </c>
      <c r="J31" s="119"/>
      <c r="K31" s="119"/>
      <c r="L31" s="60"/>
    </row>
    <row r="32" spans="5:18" ht="12.75">
      <c r="E32" s="158"/>
      <c r="F32" s="153"/>
      <c r="G32" s="122" t="s">
        <v>24</v>
      </c>
      <c r="H32" s="137">
        <v>200</v>
      </c>
      <c r="I32" s="137">
        <v>210</v>
      </c>
      <c r="J32" s="119"/>
      <c r="K32" s="119"/>
      <c r="L32" s="60"/>
      <c r="R32" s="64"/>
    </row>
    <row r="33" spans="7:12" ht="12.75">
      <c r="G33" s="122"/>
      <c r="H33" t="s">
        <v>137</v>
      </c>
      <c r="I33" t="s">
        <v>138</v>
      </c>
      <c r="L33" s="60"/>
    </row>
    <row r="34" ht="12.75">
      <c r="L34" s="60"/>
    </row>
    <row r="35" ht="12.75">
      <c r="L35" s="60"/>
    </row>
    <row r="36" spans="5:12" ht="12.75">
      <c r="E36" s="158"/>
      <c r="F36" s="153"/>
      <c r="G36" s="119"/>
      <c r="H36" s="119"/>
      <c r="I36" s="119"/>
      <c r="J36" s="119"/>
      <c r="K36" s="119"/>
      <c r="L36" s="60"/>
    </row>
    <row r="37" spans="5:12" ht="12.75">
      <c r="E37" s="158"/>
      <c r="F37" s="153"/>
      <c r="G37" s="119"/>
      <c r="H37" s="119"/>
      <c r="I37" s="119"/>
      <c r="J37" s="119"/>
      <c r="K37" s="119"/>
      <c r="L37" s="60"/>
    </row>
    <row r="38" spans="5:12" ht="12.75">
      <c r="E38" s="158"/>
      <c r="F38" s="153"/>
      <c r="G38" s="119"/>
      <c r="H38" s="119"/>
      <c r="I38" s="119"/>
      <c r="J38" s="119"/>
      <c r="K38" s="119"/>
      <c r="L38" s="60"/>
    </row>
    <row r="39" spans="5:12" ht="12.75">
      <c r="E39" s="158"/>
      <c r="F39" s="153"/>
      <c r="G39" s="119"/>
      <c r="H39" s="119"/>
      <c r="I39" s="119"/>
      <c r="J39" s="119"/>
      <c r="K39" s="119"/>
      <c r="L39" s="60"/>
    </row>
    <row r="40" spans="5:12" ht="12.75">
      <c r="E40" s="158"/>
      <c r="F40" s="153"/>
      <c r="G40" s="119"/>
      <c r="H40" s="119"/>
      <c r="I40" s="119"/>
      <c r="J40" s="119"/>
      <c r="K40" s="119"/>
      <c r="L40" s="60"/>
    </row>
    <row r="41" spans="5:12" ht="12.75">
      <c r="E41" s="158"/>
      <c r="F41" s="153"/>
      <c r="G41" s="119"/>
      <c r="H41" s="119"/>
      <c r="I41" s="119"/>
      <c r="J41" s="119"/>
      <c r="K41" s="119"/>
      <c r="L41" s="60"/>
    </row>
    <row r="42" ht="12.75">
      <c r="L42" s="60"/>
    </row>
  </sheetData>
  <mergeCells count="1">
    <mergeCell ref="B22:F22"/>
  </mergeCells>
  <printOptions/>
  <pageMargins left="0.75" right="0.75" top="1" bottom="1" header="0.5" footer="0.5"/>
  <pageSetup horizontalDpi="600" verticalDpi="600" orientation="portrait" paperSize="133" r:id="rId1"/>
</worksheet>
</file>

<file path=xl/worksheets/sheet13.xml><?xml version="1.0" encoding="utf-8"?>
<worksheet xmlns="http://schemas.openxmlformats.org/spreadsheetml/2006/main" xmlns:r="http://schemas.openxmlformats.org/officeDocument/2006/relationships">
  <dimension ref="B1:AQ42"/>
  <sheetViews>
    <sheetView workbookViewId="0" topLeftCell="A1">
      <selection activeCell="B3" sqref="B3:L23"/>
    </sheetView>
  </sheetViews>
  <sheetFormatPr defaultColWidth="9.140625" defaultRowHeight="12.75"/>
  <cols>
    <col min="3" max="3" width="28.7109375" style="0" bestFit="1" customWidth="1"/>
    <col min="14" max="14" width="34.140625" style="0" customWidth="1"/>
    <col min="16" max="16" width="33.57421875" style="0" customWidth="1"/>
    <col min="17" max="17" width="14.421875" style="0" bestFit="1" customWidth="1"/>
  </cols>
  <sheetData>
    <row r="1" spans="2:15" ht="15.75">
      <c r="B1" s="107" t="s">
        <v>153</v>
      </c>
      <c r="O1" s="109" t="s">
        <v>125</v>
      </c>
    </row>
    <row r="2" spans="12:37" ht="13.5" thickBot="1">
      <c r="L2" s="60"/>
      <c r="N2" s="116" t="s">
        <v>84</v>
      </c>
      <c r="O2" s="110"/>
      <c r="P2" t="s">
        <v>84</v>
      </c>
      <c r="Q2" t="s">
        <v>58</v>
      </c>
      <c r="R2" t="s">
        <v>58</v>
      </c>
      <c r="S2" t="s">
        <v>58</v>
      </c>
      <c r="T2" t="s">
        <v>58</v>
      </c>
      <c r="U2" t="s">
        <v>58</v>
      </c>
      <c r="V2" t="s">
        <v>58</v>
      </c>
      <c r="W2" t="s">
        <v>58</v>
      </c>
      <c r="X2" t="s">
        <v>58</v>
      </c>
      <c r="Y2" t="s">
        <v>58</v>
      </c>
      <c r="Z2" t="s">
        <v>58</v>
      </c>
      <c r="AA2" t="s">
        <v>58</v>
      </c>
      <c r="AB2" t="s">
        <v>58</v>
      </c>
      <c r="AC2" t="s">
        <v>58</v>
      </c>
      <c r="AD2" t="s">
        <v>58</v>
      </c>
      <c r="AE2" t="s">
        <v>58</v>
      </c>
      <c r="AF2" t="s">
        <v>58</v>
      </c>
      <c r="AG2" t="s">
        <v>58</v>
      </c>
      <c r="AH2" t="s">
        <v>58</v>
      </c>
      <c r="AI2" t="s">
        <v>58</v>
      </c>
      <c r="AJ2" t="s">
        <v>58</v>
      </c>
      <c r="AK2" t="s">
        <v>58</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36836.56597222222</v>
      </c>
      <c r="R3" s="64">
        <v>36923.618055555555</v>
      </c>
      <c r="S3" s="64">
        <v>37112.71527777778</v>
      </c>
      <c r="T3" s="64">
        <v>37222.385416666664</v>
      </c>
      <c r="U3" s="64">
        <v>37383.60763888889</v>
      </c>
      <c r="V3" s="64">
        <v>37474.5625</v>
      </c>
      <c r="W3" s="64">
        <v>37586.385416666664</v>
      </c>
      <c r="X3" s="64">
        <v>37746.635416666664</v>
      </c>
      <c r="Y3" s="64">
        <v>37837.59375</v>
      </c>
      <c r="Z3" s="64">
        <v>37950.45138888889</v>
      </c>
      <c r="AA3" s="64">
        <v>38027.59375</v>
      </c>
      <c r="AB3" s="64">
        <v>38111.600694444445</v>
      </c>
      <c r="AC3" s="64">
        <v>38202.51388888889</v>
      </c>
      <c r="AD3" s="64">
        <v>38335.71527777778</v>
      </c>
      <c r="AE3" s="64">
        <v>38393.5</v>
      </c>
      <c r="AF3" s="64">
        <v>38477.56041666667</v>
      </c>
      <c r="AG3" s="64">
        <v>38593.57847222222</v>
      </c>
      <c r="AH3" s="64">
        <v>38679.44097222222</v>
      </c>
      <c r="AI3" s="64">
        <v>38776.58541666667</v>
      </c>
      <c r="AJ3" s="64">
        <v>38869.52777777778</v>
      </c>
      <c r="AK3" s="64">
        <v>38960.51527777778</v>
      </c>
      <c r="AO3" s="64"/>
      <c r="AP3" s="64"/>
      <c r="AQ3" s="64"/>
    </row>
    <row r="4" spans="2:37" ht="12.75">
      <c r="B4" s="68" t="s">
        <v>103</v>
      </c>
      <c r="C4" s="93" t="s">
        <v>4</v>
      </c>
      <c r="D4" s="81">
        <f>COUNT(Q4:EC4)</f>
        <v>17</v>
      </c>
      <c r="E4" s="82">
        <f>AVERAGE(Q4:EC4)</f>
        <v>0.13841176470588235</v>
      </c>
      <c r="F4" s="82">
        <f aca="true" t="shared" si="0" ref="F4:F15">CONFIDENCE(0.05,G4,D4)</f>
        <v>0.09096973437375584</v>
      </c>
      <c r="G4" s="82">
        <f>STDEV(Q4:EC4)</f>
        <v>0.19136975297298472</v>
      </c>
      <c r="H4" s="82">
        <f>QUARTILE(Q4:EC4,2)</f>
        <v>0.029</v>
      </c>
      <c r="I4" s="82">
        <f>MIN(Q4:EC4)</f>
        <v>0.004</v>
      </c>
      <c r="J4" s="82">
        <f>MAX(Q4:EC4)</f>
        <v>0.75</v>
      </c>
      <c r="K4" s="82">
        <f>PERCENTILE(Q4:EC4,0.95)</f>
        <v>0.4059999999999997</v>
      </c>
      <c r="L4" s="102" t="str">
        <f>IF((H4+H5)&lt;0.08,"A",IF((H4+H5)&lt;0.12,"B",IF((H4+H5)&lt;0.295,"C",IF((H4+H5)&lt;0.444,"D","E"))))</f>
        <v>A</v>
      </c>
      <c r="N4" s="116" t="s">
        <v>86</v>
      </c>
      <c r="O4" s="108"/>
      <c r="P4" t="s">
        <v>86</v>
      </c>
      <c r="U4">
        <v>0.15</v>
      </c>
      <c r="V4">
        <v>0.32</v>
      </c>
      <c r="W4">
        <v>0.067</v>
      </c>
      <c r="X4">
        <v>0.004</v>
      </c>
      <c r="Y4">
        <v>0.017</v>
      </c>
      <c r="Z4">
        <v>0.029</v>
      </c>
      <c r="AA4">
        <v>0.02</v>
      </c>
      <c r="AB4">
        <v>0.29</v>
      </c>
      <c r="AC4">
        <v>0.75</v>
      </c>
      <c r="AD4">
        <v>0.024</v>
      </c>
      <c r="AE4">
        <v>0.01</v>
      </c>
      <c r="AF4">
        <v>0.005</v>
      </c>
      <c r="AG4">
        <v>0.2</v>
      </c>
      <c r="AH4">
        <v>0.029</v>
      </c>
      <c r="AI4">
        <v>0.008</v>
      </c>
      <c r="AJ4">
        <v>0.22</v>
      </c>
      <c r="AK4">
        <v>0.21</v>
      </c>
    </row>
    <row r="5" spans="2:37" ht="12.75">
      <c r="B5" s="69"/>
      <c r="C5" s="5" t="s">
        <v>5</v>
      </c>
      <c r="D5" s="73">
        <f>COUNT(Q5:EC5)</f>
        <v>17</v>
      </c>
      <c r="E5" s="112">
        <f>AVERAGE(Q5:EC5)</f>
        <v>0.00670588235294118</v>
      </c>
      <c r="F5" s="112">
        <f t="shared" si="0"/>
        <v>0.002247085131899564</v>
      </c>
      <c r="G5" s="112">
        <f>STDEV(Q5:EC5)</f>
        <v>0.004727112039638376</v>
      </c>
      <c r="H5" s="112">
        <f>QUARTILE(Q5:EC5,2)</f>
        <v>0.005</v>
      </c>
      <c r="I5" s="112">
        <f>MIN(Q5:EC5)</f>
        <v>0.005</v>
      </c>
      <c r="J5" s="112">
        <f>MAX(Q5:EC5)</f>
        <v>0.024</v>
      </c>
      <c r="K5" s="112">
        <f>PERCENTILE(Q5:EC5,0.95)</f>
        <v>0.01359999999999999</v>
      </c>
      <c r="L5" s="102"/>
      <c r="N5" s="116" t="s">
        <v>87</v>
      </c>
      <c r="O5" s="108"/>
      <c r="P5" t="s">
        <v>87</v>
      </c>
      <c r="U5">
        <v>0.006</v>
      </c>
      <c r="V5">
        <v>0.011</v>
      </c>
      <c r="W5">
        <v>0.008</v>
      </c>
      <c r="X5">
        <v>0.005</v>
      </c>
      <c r="Y5">
        <v>0.005</v>
      </c>
      <c r="Z5">
        <v>0.005</v>
      </c>
      <c r="AA5">
        <v>0.024</v>
      </c>
      <c r="AB5">
        <v>0.005</v>
      </c>
      <c r="AC5">
        <v>0.005</v>
      </c>
      <c r="AD5">
        <v>0.005</v>
      </c>
      <c r="AE5">
        <v>0.005</v>
      </c>
      <c r="AF5">
        <v>0.005</v>
      </c>
      <c r="AG5">
        <v>0.005</v>
      </c>
      <c r="AH5">
        <v>0.005</v>
      </c>
      <c r="AI5">
        <v>0.005</v>
      </c>
      <c r="AJ5">
        <v>0.005</v>
      </c>
      <c r="AK5">
        <v>0.005</v>
      </c>
    </row>
    <row r="6" spans="2:37" ht="12.75">
      <c r="B6" s="70"/>
      <c r="C6" s="94" t="s">
        <v>6</v>
      </c>
      <c r="D6" s="73">
        <f>COUNT(Q6:EC6)</f>
        <v>21</v>
      </c>
      <c r="E6" s="112">
        <f>AVERAGE(Q6:EC6)</f>
        <v>0.010190476190476193</v>
      </c>
      <c r="F6" s="112">
        <f t="shared" si="0"/>
        <v>0.0013965479224386094</v>
      </c>
      <c r="G6" s="112">
        <f>STDEV(Q6:EC6)</f>
        <v>0.0032652572275250692</v>
      </c>
      <c r="H6" s="112">
        <f>QUARTILE(Q6:EC6,2)</f>
        <v>0.011</v>
      </c>
      <c r="I6" s="112">
        <f>MIN(Q6:EC6)</f>
        <v>0.004</v>
      </c>
      <c r="J6" s="112">
        <f>MAX(Q6:EC6)</f>
        <v>0.019</v>
      </c>
      <c r="K6" s="112">
        <f>PERCENTILE(Q6:EC6,0.95)</f>
        <v>0.015</v>
      </c>
      <c r="L6" s="102" t="str">
        <f>IF((H6)&lt;0.005,"A",IF((H6)&lt;0.008,"B",IF((H6)&lt;0.026,"C",IF((H6)&lt;0.05,"D","E"))))</f>
        <v>C</v>
      </c>
      <c r="N6" s="116" t="s">
        <v>88</v>
      </c>
      <c r="O6" s="108"/>
      <c r="P6" t="s">
        <v>88</v>
      </c>
      <c r="Q6">
        <v>0.015</v>
      </c>
      <c r="R6">
        <v>0.008</v>
      </c>
      <c r="S6">
        <v>0.019</v>
      </c>
      <c r="T6">
        <v>0.012</v>
      </c>
      <c r="U6">
        <v>0.012</v>
      </c>
      <c r="V6">
        <v>0.008</v>
      </c>
      <c r="W6">
        <v>0.011</v>
      </c>
      <c r="X6">
        <v>0.012</v>
      </c>
      <c r="Y6">
        <v>0.007</v>
      </c>
      <c r="Z6">
        <v>0.011</v>
      </c>
      <c r="AA6">
        <v>0.011</v>
      </c>
      <c r="AB6">
        <v>0.008</v>
      </c>
      <c r="AC6">
        <v>0.01</v>
      </c>
      <c r="AD6">
        <v>0.009</v>
      </c>
      <c r="AE6">
        <v>0.011</v>
      </c>
      <c r="AF6">
        <v>0.008</v>
      </c>
      <c r="AG6">
        <v>0.005</v>
      </c>
      <c r="AH6">
        <v>0.012</v>
      </c>
      <c r="AI6">
        <v>0.01</v>
      </c>
      <c r="AJ6">
        <v>0.011</v>
      </c>
      <c r="AK6">
        <v>0.004</v>
      </c>
    </row>
    <row r="7" spans="2:37" ht="12.75">
      <c r="B7" s="71" t="s">
        <v>104</v>
      </c>
      <c r="C7" s="6" t="s">
        <v>7</v>
      </c>
      <c r="D7" s="86">
        <f>COUNT(Q7:EC7)</f>
        <v>21</v>
      </c>
      <c r="E7" s="113">
        <f>AVERAGE(Q7:EC7)</f>
        <v>7.833809523809525</v>
      </c>
      <c r="F7" s="113">
        <f t="shared" si="0"/>
        <v>0.12469816747802934</v>
      </c>
      <c r="G7" s="113">
        <f>STDEV(Q7:EC7)</f>
        <v>0.291555761227138</v>
      </c>
      <c r="H7" s="113">
        <f>QUARTILE(Q7:EC7,2)</f>
        <v>7.9</v>
      </c>
      <c r="I7" s="113">
        <f>MIN(Q7:EC7)</f>
        <v>7.32</v>
      </c>
      <c r="J7" s="113">
        <f>MAX(Q7:EC7)</f>
        <v>8.29</v>
      </c>
      <c r="K7" s="113">
        <f>PERCENTILE(Q7:EC7,0.95)</f>
        <v>8.22</v>
      </c>
      <c r="L7" s="103" t="str">
        <f>IF(AND(7.2&lt;H7,H7&lt;9),"A",IF(AND(7.2&lt;=H7,H7&lt;=9),"B",IF(AND(6.5&lt;=H7,H7&lt;=9),"C",IF(AND(6.5&lt;=H7,H7&lt;=10),"D","E"))))</f>
        <v>A</v>
      </c>
      <c r="N7" s="116" t="s">
        <v>89</v>
      </c>
      <c r="O7" s="108"/>
      <c r="P7" t="s">
        <v>89</v>
      </c>
      <c r="Q7">
        <v>8.29</v>
      </c>
      <c r="R7">
        <v>8.22</v>
      </c>
      <c r="S7">
        <v>7.9</v>
      </c>
      <c r="T7">
        <v>7.45</v>
      </c>
      <c r="U7">
        <v>8.08</v>
      </c>
      <c r="V7">
        <v>8.05</v>
      </c>
      <c r="W7">
        <v>7.92</v>
      </c>
      <c r="X7">
        <v>7.69</v>
      </c>
      <c r="Y7">
        <v>8.16</v>
      </c>
      <c r="Z7">
        <v>7.96</v>
      </c>
      <c r="AA7">
        <v>7.73</v>
      </c>
      <c r="AB7">
        <v>7.37</v>
      </c>
      <c r="AC7">
        <v>7.66</v>
      </c>
      <c r="AD7">
        <v>7.97</v>
      </c>
      <c r="AE7">
        <v>7.74</v>
      </c>
      <c r="AF7">
        <v>7.72</v>
      </c>
      <c r="AG7">
        <v>7.91</v>
      </c>
      <c r="AH7">
        <v>7.36</v>
      </c>
      <c r="AI7">
        <v>7.32</v>
      </c>
      <c r="AJ7">
        <v>7.8</v>
      </c>
      <c r="AK7">
        <v>8.21</v>
      </c>
    </row>
    <row r="8" spans="2:37" ht="12.75">
      <c r="B8" s="71"/>
      <c r="C8" s="6" t="s">
        <v>8</v>
      </c>
      <c r="D8" s="81">
        <f>COUNT(Q8:EC8)</f>
        <v>21</v>
      </c>
      <c r="E8" s="44">
        <f>AVERAGE(Q8:EC8)</f>
        <v>12.090000000000002</v>
      </c>
      <c r="F8" s="44">
        <f t="shared" si="0"/>
        <v>1.4275655132297984</v>
      </c>
      <c r="G8" s="44">
        <f>STDEV(Q8:EC8)</f>
        <v>3.337779201804686</v>
      </c>
      <c r="H8" s="44">
        <f>QUARTILE(Q8:EC8,2)</f>
        <v>12.05</v>
      </c>
      <c r="I8" s="44">
        <f>MIN(Q8:EC8)</f>
        <v>7.2</v>
      </c>
      <c r="J8" s="44">
        <f>MAX(Q8:EC8)</f>
        <v>18.9</v>
      </c>
      <c r="K8" s="44">
        <f>PERCENTILE(Q8:EC8,0.95)</f>
        <v>17.3</v>
      </c>
      <c r="L8" s="102" t="str">
        <f>IF(H8&lt;18,"A",IF(H8&lt;20,"B",IF(H8&lt;22,"C",IF(H8&lt;25,"D","E"))))</f>
        <v>A</v>
      </c>
      <c r="N8" s="116" t="s">
        <v>90</v>
      </c>
      <c r="O8" s="108"/>
      <c r="P8" t="s">
        <v>90</v>
      </c>
      <c r="Q8">
        <v>14</v>
      </c>
      <c r="R8">
        <v>18.9</v>
      </c>
      <c r="S8">
        <v>8.7</v>
      </c>
      <c r="T8">
        <v>12.3</v>
      </c>
      <c r="U8">
        <v>12.05</v>
      </c>
      <c r="V8">
        <v>8.2</v>
      </c>
      <c r="W8">
        <v>11.7</v>
      </c>
      <c r="X8">
        <v>10.9</v>
      </c>
      <c r="Y8">
        <v>8.3</v>
      </c>
      <c r="Z8">
        <v>12.2</v>
      </c>
      <c r="AA8">
        <v>16.8</v>
      </c>
      <c r="AB8">
        <v>12.1</v>
      </c>
      <c r="AC8">
        <v>7.2</v>
      </c>
      <c r="AD8">
        <v>15.3</v>
      </c>
      <c r="AE8">
        <v>17.3</v>
      </c>
      <c r="AF8">
        <v>11.7</v>
      </c>
      <c r="AG8">
        <v>10.14</v>
      </c>
      <c r="AH8">
        <v>12.83</v>
      </c>
      <c r="AI8">
        <v>16.19</v>
      </c>
      <c r="AJ8">
        <v>8.78</v>
      </c>
      <c r="AK8">
        <v>8.3</v>
      </c>
    </row>
    <row r="9" spans="2:37" ht="12.75">
      <c r="B9" s="71"/>
      <c r="C9" s="7" t="s">
        <v>9</v>
      </c>
      <c r="D9" s="81">
        <f>COUNT(Q9:EC9)</f>
        <v>21</v>
      </c>
      <c r="E9" s="44">
        <f>AVERAGE(Q9:EC9)</f>
        <v>102.76666666666667</v>
      </c>
      <c r="F9" s="44">
        <f t="shared" si="0"/>
        <v>1.9251374248229935</v>
      </c>
      <c r="G9" s="44">
        <f>STDEV(Q9:EC9)</f>
        <v>4.501148001713925</v>
      </c>
      <c r="H9" s="44">
        <f>QUARTILE(Q9:EC9,2)</f>
        <v>102.2</v>
      </c>
      <c r="I9" s="44">
        <f>MIN(Q9:EC9)</f>
        <v>94.7</v>
      </c>
      <c r="J9" s="44">
        <f>MAX(Q9:EC9)</f>
        <v>111.6</v>
      </c>
      <c r="K9" s="44">
        <f>PERCENTILE(Q9:EC9,0.95)</f>
        <v>109.2</v>
      </c>
      <c r="L9" s="104" t="str">
        <f>IF(AND(99&lt;=H9,H9&lt;=103),"A",IF(AND(98&lt;=H9,H9&lt;=105),"B",IF(H9&gt;90,"C",IF(H9&gt;80,"D","E"))))</f>
        <v>A</v>
      </c>
      <c r="N9" s="116" t="s">
        <v>91</v>
      </c>
      <c r="O9" s="108"/>
      <c r="P9" t="s">
        <v>91</v>
      </c>
      <c r="Q9">
        <v>102.2</v>
      </c>
      <c r="R9">
        <v>100.5</v>
      </c>
      <c r="S9">
        <v>96.1</v>
      </c>
      <c r="T9">
        <v>99.4</v>
      </c>
      <c r="U9">
        <v>105.1</v>
      </c>
      <c r="V9">
        <v>109.2</v>
      </c>
      <c r="W9">
        <v>107.1</v>
      </c>
      <c r="X9">
        <v>94.7</v>
      </c>
      <c r="Y9">
        <v>107.2</v>
      </c>
      <c r="Z9">
        <v>101.8</v>
      </c>
      <c r="AA9">
        <v>105</v>
      </c>
      <c r="AB9">
        <v>97.3</v>
      </c>
      <c r="AC9">
        <v>100.8</v>
      </c>
      <c r="AD9">
        <v>99.4</v>
      </c>
      <c r="AE9">
        <v>107</v>
      </c>
      <c r="AF9">
        <v>101.4</v>
      </c>
      <c r="AG9">
        <v>111.6</v>
      </c>
      <c r="AH9">
        <v>102.4</v>
      </c>
      <c r="AI9">
        <v>105.8</v>
      </c>
      <c r="AJ9">
        <v>97.9</v>
      </c>
      <c r="AK9">
        <v>106.2</v>
      </c>
    </row>
    <row r="10" spans="2:37" ht="12.75">
      <c r="B10" s="71"/>
      <c r="C10" s="6" t="s">
        <v>10</v>
      </c>
      <c r="D10" s="81">
        <f>COUNT(Q10:EC10)</f>
        <v>21</v>
      </c>
      <c r="E10" s="44">
        <f>AVERAGE(Q10:EC10)</f>
        <v>11.106190476190477</v>
      </c>
      <c r="F10" s="44">
        <f t="shared" si="0"/>
        <v>0.4163745152181136</v>
      </c>
      <c r="G10" s="44">
        <f>STDEV(Q10:EC10)</f>
        <v>0.9735218343235604</v>
      </c>
      <c r="H10" s="44">
        <f>QUARTILE(Q10:EC10,2)</f>
        <v>10.93</v>
      </c>
      <c r="I10" s="44">
        <f>MIN(Q10:EC10)</f>
        <v>9.34</v>
      </c>
      <c r="J10" s="44">
        <f>MAX(Q10:EC10)</f>
        <v>12.88</v>
      </c>
      <c r="K10" s="44">
        <f>PERCENTILE(Q10:EC10,0.95)</f>
        <v>12.6</v>
      </c>
      <c r="L10" s="102"/>
      <c r="N10" s="116" t="s">
        <v>92</v>
      </c>
      <c r="O10" s="108"/>
      <c r="P10" t="s">
        <v>92</v>
      </c>
      <c r="Q10">
        <v>10.6</v>
      </c>
      <c r="R10">
        <v>9.34</v>
      </c>
      <c r="S10">
        <v>11.2</v>
      </c>
      <c r="T10">
        <v>10.62</v>
      </c>
      <c r="U10">
        <v>11.3</v>
      </c>
      <c r="V10">
        <v>12.88</v>
      </c>
      <c r="W10">
        <v>11.63</v>
      </c>
      <c r="X10">
        <v>10.45</v>
      </c>
      <c r="Y10">
        <v>12.6</v>
      </c>
      <c r="Z10">
        <v>10.93</v>
      </c>
      <c r="AA10">
        <v>10.19</v>
      </c>
      <c r="AB10">
        <v>10.46</v>
      </c>
      <c r="AC10">
        <v>12.19</v>
      </c>
      <c r="AD10">
        <v>9.94</v>
      </c>
      <c r="AE10">
        <v>10.26</v>
      </c>
      <c r="AF10">
        <v>11</v>
      </c>
      <c r="AG10">
        <v>12.55</v>
      </c>
      <c r="AH10">
        <v>10.83</v>
      </c>
      <c r="AI10">
        <v>10.39</v>
      </c>
      <c r="AJ10">
        <v>11.38</v>
      </c>
      <c r="AK10">
        <v>12.49</v>
      </c>
    </row>
    <row r="11" spans="2:37" ht="12.75">
      <c r="B11" s="72"/>
      <c r="C11" s="95" t="s">
        <v>11</v>
      </c>
      <c r="D11" s="87">
        <f>COUNT(Q11:EC11)</f>
        <v>21</v>
      </c>
      <c r="E11" s="115">
        <f>AVERAGE(Q11:EC11)</f>
        <v>135.84285714285713</v>
      </c>
      <c r="F11" s="115">
        <f t="shared" si="0"/>
        <v>15.226251334992513</v>
      </c>
      <c r="G11" s="115">
        <f>STDEV(Q11:EC11)</f>
        <v>35.600373192265494</v>
      </c>
      <c r="H11" s="115">
        <f>QUARTILE(Q11:EC11,2)</f>
        <v>125</v>
      </c>
      <c r="I11" s="115">
        <f>MIN(Q11:EC11)</f>
        <v>85.6</v>
      </c>
      <c r="J11" s="115">
        <f>MAX(Q11:EC11)</f>
        <v>226.8</v>
      </c>
      <c r="K11" s="115">
        <f>PERCENTILE(Q11:EC11,0.95)</f>
        <v>207</v>
      </c>
      <c r="L11" s="105"/>
      <c r="N11" s="116" t="s">
        <v>93</v>
      </c>
      <c r="O11" s="108"/>
      <c r="P11" t="s">
        <v>93</v>
      </c>
      <c r="Q11">
        <v>117.6</v>
      </c>
      <c r="R11">
        <v>226.8</v>
      </c>
      <c r="S11">
        <v>85.6</v>
      </c>
      <c r="T11">
        <v>92.7</v>
      </c>
      <c r="U11">
        <v>122</v>
      </c>
      <c r="V11">
        <v>116</v>
      </c>
      <c r="W11">
        <v>127</v>
      </c>
      <c r="X11">
        <v>115</v>
      </c>
      <c r="Y11">
        <v>110</v>
      </c>
      <c r="Z11">
        <v>125</v>
      </c>
      <c r="AA11">
        <v>110</v>
      </c>
      <c r="AB11">
        <v>135</v>
      </c>
      <c r="AC11">
        <v>112</v>
      </c>
      <c r="AD11">
        <v>141</v>
      </c>
      <c r="AE11">
        <v>154</v>
      </c>
      <c r="AF11">
        <v>182</v>
      </c>
      <c r="AG11">
        <v>133</v>
      </c>
      <c r="AH11">
        <v>169</v>
      </c>
      <c r="AI11">
        <v>207</v>
      </c>
      <c r="AJ11">
        <v>119</v>
      </c>
      <c r="AK11">
        <v>153</v>
      </c>
    </row>
    <row r="12" spans="2:37" ht="12.75">
      <c r="B12" s="68" t="s">
        <v>105</v>
      </c>
      <c r="C12" s="4" t="s">
        <v>12</v>
      </c>
      <c r="D12" s="81">
        <f>COUNT(Q12:EC12)</f>
        <v>21</v>
      </c>
      <c r="E12" s="82">
        <f>AVERAGE(Q12:EC12)</f>
        <v>2.5542857142857143</v>
      </c>
      <c r="F12" s="82">
        <f t="shared" si="0"/>
        <v>1.4310936670586463</v>
      </c>
      <c r="G12" s="82">
        <f>STDEV(Q12:EC12)</f>
        <v>3.346028349294984</v>
      </c>
      <c r="H12" s="82">
        <f>QUARTILE(Q12:EC12,2)</f>
        <v>1.8</v>
      </c>
      <c r="I12" s="82">
        <f>MIN(Q12:EC12)</f>
        <v>0.58</v>
      </c>
      <c r="J12" s="82">
        <f>MAX(Q12:EC12)</f>
        <v>16.3</v>
      </c>
      <c r="K12" s="82">
        <f>PERCENTILE(Q12:EC12,0.95)</f>
        <v>4.6</v>
      </c>
      <c r="L12" s="102" t="str">
        <f>IF(H12&lt;1,"A",IF(H12&lt;2,"B",IF(H12&lt;3,"C",IF(H12&lt;5,"D","E"))))</f>
        <v>B</v>
      </c>
      <c r="N12" s="116" t="s">
        <v>94</v>
      </c>
      <c r="O12" s="108"/>
      <c r="P12" t="s">
        <v>94</v>
      </c>
      <c r="Q12">
        <v>4.27</v>
      </c>
      <c r="R12">
        <v>0.77</v>
      </c>
      <c r="S12">
        <v>0.8</v>
      </c>
      <c r="T12">
        <v>2.02</v>
      </c>
      <c r="U12">
        <v>2.22</v>
      </c>
      <c r="V12">
        <v>1.11</v>
      </c>
      <c r="W12">
        <v>1.05</v>
      </c>
      <c r="X12">
        <v>1.16</v>
      </c>
      <c r="Y12">
        <v>2.02</v>
      </c>
      <c r="Z12">
        <v>2.92</v>
      </c>
      <c r="AA12">
        <v>3.3</v>
      </c>
      <c r="AB12">
        <v>16.3</v>
      </c>
      <c r="AC12">
        <v>4.6</v>
      </c>
      <c r="AD12">
        <v>1.8</v>
      </c>
      <c r="AE12">
        <v>2.38</v>
      </c>
      <c r="AF12">
        <v>0.58</v>
      </c>
      <c r="AG12">
        <v>1.35</v>
      </c>
      <c r="AH12">
        <v>0.65</v>
      </c>
      <c r="AI12">
        <v>0.85</v>
      </c>
      <c r="AJ12">
        <v>1.49</v>
      </c>
      <c r="AK12">
        <v>2</v>
      </c>
    </row>
    <row r="13" spans="2:37" ht="12.75">
      <c r="B13" s="71"/>
      <c r="C13" s="6" t="s">
        <v>13</v>
      </c>
      <c r="D13" s="81">
        <f>COUNT(Q13:EC13)</f>
        <v>19</v>
      </c>
      <c r="E13" s="44">
        <f>AVERAGE(Q13:EC13)</f>
        <v>2.6589473684210527</v>
      </c>
      <c r="F13" s="44">
        <f t="shared" si="0"/>
        <v>0.4956817207525703</v>
      </c>
      <c r="G13" s="44">
        <f>STDEV(Q13:EC13)</f>
        <v>1.102380730443798</v>
      </c>
      <c r="H13" s="44">
        <f>QUARTILE(Q13:EC13,2)</f>
        <v>2.7</v>
      </c>
      <c r="I13" s="44">
        <f>MIN(Q13:EC13)</f>
        <v>0.4</v>
      </c>
      <c r="J13" s="44">
        <f>MAX(Q13:EC13)</f>
        <v>4.8</v>
      </c>
      <c r="K13" s="44">
        <f>PERCENTILE(Q13:EC13,0.95)</f>
        <v>4.529999999999999</v>
      </c>
      <c r="L13" s="102" t="str">
        <f>IF(H13&gt;6,"A",IF(H13&gt;4,"B",IF(H13&gt;2.5,"C",IF(H13&gt;0.6,"D","E"))))</f>
        <v>C</v>
      </c>
      <c r="N13" s="116" t="s">
        <v>13</v>
      </c>
      <c r="O13" s="108"/>
      <c r="P13" t="s">
        <v>13</v>
      </c>
      <c r="Q13">
        <v>1.1</v>
      </c>
      <c r="S13">
        <v>4.8</v>
      </c>
      <c r="T13">
        <v>3.95</v>
      </c>
      <c r="U13">
        <v>2.87</v>
      </c>
      <c r="V13">
        <v>3</v>
      </c>
      <c r="W13">
        <v>2.2</v>
      </c>
      <c r="Y13">
        <v>2.5</v>
      </c>
      <c r="Z13">
        <v>2.15</v>
      </c>
      <c r="AA13">
        <v>1.75</v>
      </c>
      <c r="AB13">
        <v>0.4</v>
      </c>
      <c r="AC13">
        <v>1.6</v>
      </c>
      <c r="AD13">
        <v>1.7</v>
      </c>
      <c r="AE13">
        <v>2.9</v>
      </c>
      <c r="AF13">
        <v>2.7</v>
      </c>
      <c r="AG13">
        <v>2.7</v>
      </c>
      <c r="AH13">
        <v>3</v>
      </c>
      <c r="AI13">
        <v>4.5</v>
      </c>
      <c r="AJ13">
        <v>3.2</v>
      </c>
      <c r="AK13">
        <v>3.5</v>
      </c>
    </row>
    <row r="14" spans="2:37" ht="12.75">
      <c r="B14" s="72"/>
      <c r="C14" s="95" t="s">
        <v>14</v>
      </c>
      <c r="D14" s="87">
        <f>COUNT(Q14:EC14)</f>
        <v>20</v>
      </c>
      <c r="E14" s="115">
        <f>AVERAGE(Q14:EC14)</f>
        <v>2.525</v>
      </c>
      <c r="F14" s="115">
        <f t="shared" si="0"/>
        <v>1.2552208530210032</v>
      </c>
      <c r="G14" s="115">
        <f>STDEV(Q14:EC14)</f>
        <v>2.86409258156741</v>
      </c>
      <c r="H14" s="115">
        <f>QUARTILE(Q14:EC14,2)</f>
        <v>1</v>
      </c>
      <c r="I14" s="115">
        <f>MIN(Q14:EC14)</f>
        <v>0.3</v>
      </c>
      <c r="J14" s="115">
        <f>MAX(Q14:EC14)</f>
        <v>12</v>
      </c>
      <c r="K14" s="115">
        <f>PERCENTILE(Q14:EC14,0.95)</f>
        <v>7.2500000000000036</v>
      </c>
      <c r="L14" s="102"/>
      <c r="N14" s="116" t="s">
        <v>95</v>
      </c>
      <c r="O14" s="108"/>
      <c r="P14" t="s">
        <v>95</v>
      </c>
      <c r="Q14">
        <v>4</v>
      </c>
      <c r="S14">
        <v>12</v>
      </c>
      <c r="T14">
        <v>0.9</v>
      </c>
      <c r="U14">
        <v>2</v>
      </c>
      <c r="V14">
        <v>0.8</v>
      </c>
      <c r="W14">
        <v>3</v>
      </c>
      <c r="X14">
        <v>0.3</v>
      </c>
      <c r="Y14">
        <v>3</v>
      </c>
      <c r="Z14">
        <v>1</v>
      </c>
      <c r="AA14">
        <v>1</v>
      </c>
      <c r="AB14">
        <v>7</v>
      </c>
      <c r="AC14">
        <v>5</v>
      </c>
      <c r="AD14">
        <v>2</v>
      </c>
      <c r="AE14">
        <v>1</v>
      </c>
      <c r="AF14">
        <v>0.3</v>
      </c>
      <c r="AG14">
        <v>1</v>
      </c>
      <c r="AH14">
        <v>4</v>
      </c>
      <c r="AI14">
        <v>0.7</v>
      </c>
      <c r="AJ14">
        <v>0.5</v>
      </c>
      <c r="AK14">
        <v>1</v>
      </c>
    </row>
    <row r="15" spans="2:37" ht="12.75">
      <c r="B15" s="208" t="s">
        <v>267</v>
      </c>
      <c r="C15" s="8" t="s">
        <v>268</v>
      </c>
      <c r="D15" s="81">
        <f>COUNT(Q15:EC15)</f>
        <v>20</v>
      </c>
      <c r="E15" s="40">
        <f>AVERAGE(Q15:EC15)</f>
        <v>100.05</v>
      </c>
      <c r="F15" s="40">
        <f t="shared" si="0"/>
        <v>33.3073936935161</v>
      </c>
      <c r="G15" s="40">
        <f>STDEV(Q15:EC15)</f>
        <v>75.99894389847934</v>
      </c>
      <c r="H15" s="40">
        <f>QUARTILE(Q15:EC15,2)</f>
        <v>85</v>
      </c>
      <c r="I15" s="40">
        <f>MIN(Q15:EC15)</f>
        <v>5</v>
      </c>
      <c r="J15" s="40">
        <f>MAX(Q15:EC15)</f>
        <v>225</v>
      </c>
      <c r="K15" s="40">
        <f>PERCENTILE(Q15:EC15,0.95)</f>
        <v>220.25</v>
      </c>
      <c r="L15" s="106" t="str">
        <f>IF(H15&lt;10,"A",IF(H15&lt;130,"B",IF(H15&lt;260,"C",IF(H15&lt;550,"D","E"))))</f>
        <v>B</v>
      </c>
      <c r="N15" s="116" t="s">
        <v>255</v>
      </c>
      <c r="O15" s="108"/>
      <c r="P15" t="s">
        <v>255</v>
      </c>
      <c r="Q15">
        <v>75</v>
      </c>
      <c r="R15">
        <v>220</v>
      </c>
      <c r="S15">
        <v>20</v>
      </c>
      <c r="T15">
        <v>210</v>
      </c>
      <c r="U15">
        <v>45</v>
      </c>
      <c r="V15">
        <v>10</v>
      </c>
      <c r="W15">
        <v>170</v>
      </c>
      <c r="X15">
        <v>110</v>
      </c>
      <c r="Y15">
        <v>10</v>
      </c>
      <c r="Z15">
        <v>95</v>
      </c>
      <c r="AA15">
        <v>195</v>
      </c>
      <c r="AB15">
        <v>110</v>
      </c>
      <c r="AC15">
        <v>5</v>
      </c>
      <c r="AD15">
        <v>75</v>
      </c>
      <c r="AE15">
        <v>180</v>
      </c>
      <c r="AF15">
        <v>60</v>
      </c>
      <c r="AG15">
        <v>30</v>
      </c>
      <c r="AH15">
        <v>225</v>
      </c>
      <c r="AI15">
        <v>121</v>
      </c>
      <c r="AK15">
        <v>35</v>
      </c>
    </row>
    <row r="16" spans="2:15" ht="12.75">
      <c r="B16" s="72"/>
      <c r="C16" s="95"/>
      <c r="D16" s="87"/>
      <c r="E16" s="88"/>
      <c r="F16" s="88"/>
      <c r="G16" s="88"/>
      <c r="H16" s="88"/>
      <c r="I16" s="88"/>
      <c r="J16" s="88"/>
      <c r="K16" s="88"/>
      <c r="L16" s="105"/>
      <c r="N16" s="116"/>
      <c r="O16" s="108"/>
    </row>
    <row r="17" spans="2:34" ht="12.75">
      <c r="B17" s="73" t="s">
        <v>107</v>
      </c>
      <c r="C17" s="9" t="s">
        <v>17</v>
      </c>
      <c r="D17" s="81">
        <f>COUNT(Q17:EC17)</f>
        <v>6</v>
      </c>
      <c r="E17" s="44">
        <f>AVERAGE(Q17:EC17)</f>
        <v>110.426</v>
      </c>
      <c r="F17" s="44">
        <f>CONFIDENCE(0.05,G17,D17)</f>
        <v>4.364757797600039</v>
      </c>
      <c r="G17" s="44">
        <f>STDEV(Q17:EC17)</f>
        <v>5.454911181678246</v>
      </c>
      <c r="H17" s="44">
        <f>QUARTILE(Q17:EC17,2)</f>
        <v>111.5</v>
      </c>
      <c r="I17" s="44">
        <f>MIN(Q17:EC17)</f>
        <v>101</v>
      </c>
      <c r="J17" s="44">
        <f>MAX(Q17:EC17)</f>
        <v>115.556</v>
      </c>
      <c r="K17" s="44">
        <f>PERCENTILE(Q17:EC17,0.95)</f>
        <v>115.417</v>
      </c>
      <c r="L17" s="102" t="str">
        <f>IF(H17&gt;120,"A",IF(H17&gt;100,"B",IF(H17&gt;80,"C",IF(H17&gt;60,"D","E"))))</f>
        <v>B</v>
      </c>
      <c r="N17" s="116" t="s">
        <v>17</v>
      </c>
      <c r="O17" s="108"/>
      <c r="P17" t="s">
        <v>17</v>
      </c>
      <c r="Q17">
        <v>108</v>
      </c>
      <c r="T17">
        <v>101</v>
      </c>
      <c r="W17">
        <v>110</v>
      </c>
      <c r="Z17">
        <v>115</v>
      </c>
      <c r="AD17">
        <v>113</v>
      </c>
      <c r="AH17">
        <v>115.556</v>
      </c>
    </row>
    <row r="18" spans="2:34" ht="12.75">
      <c r="B18" s="74"/>
      <c r="C18" s="96" t="s">
        <v>18</v>
      </c>
      <c r="D18" s="81">
        <f>COUNT(Q18:EC18)</f>
        <v>6</v>
      </c>
      <c r="E18" s="44">
        <f>AVERAGE(Q18:EC18)</f>
        <v>6.300333333333334</v>
      </c>
      <c r="F18" s="44">
        <f>CONFIDENCE(0.05,G18,D18)</f>
        <v>0.7169150083916868</v>
      </c>
      <c r="G18" s="44">
        <f>STDEV(Q18:EC18)</f>
        <v>0.895973585920178</v>
      </c>
      <c r="H18" s="44">
        <f>QUARTILE(Q18:EC18,2)</f>
        <v>6.616</v>
      </c>
      <c r="I18" s="44">
        <f>MIN(Q18:EC18)</f>
        <v>5.13</v>
      </c>
      <c r="J18" s="44">
        <f>MAX(Q18:EC18)</f>
        <v>7.11</v>
      </c>
      <c r="K18" s="44">
        <f>PERCENTILE(Q18:EC18,0.95)</f>
        <v>7.1075</v>
      </c>
      <c r="L18" s="105" t="str">
        <f>IF(H18&gt;6,"A",IF(H18&gt;5,"B",IF(H18&gt;4,"C",IF(H18&gt;3,"D","E"))))</f>
        <v>A</v>
      </c>
      <c r="N18" s="116" t="s">
        <v>18</v>
      </c>
      <c r="O18" s="108"/>
      <c r="P18" t="s">
        <v>18</v>
      </c>
      <c r="Q18">
        <v>7.1</v>
      </c>
      <c r="T18">
        <v>5.23</v>
      </c>
      <c r="W18">
        <v>6.57</v>
      </c>
      <c r="Z18">
        <v>5.13</v>
      </c>
      <c r="AD18">
        <v>7.11</v>
      </c>
      <c r="AH18">
        <v>6.662</v>
      </c>
    </row>
    <row r="19" spans="2:34" ht="12.75">
      <c r="B19" s="71" t="s">
        <v>106</v>
      </c>
      <c r="C19" s="7" t="s">
        <v>19</v>
      </c>
      <c r="D19" s="86">
        <f>COUNT(Q19:EC19)</f>
        <v>4</v>
      </c>
      <c r="E19" s="113">
        <f>AVERAGE(Q19:EC19)</f>
        <v>9.60875</v>
      </c>
      <c r="F19" s="113">
        <f>CONFIDENCE(0.05,G19,D19)</f>
        <v>0.30306580184971826</v>
      </c>
      <c r="G19" s="113">
        <f>STDEV(Q19:EC19)</f>
        <v>0.3092565008747739</v>
      </c>
      <c r="H19" s="113">
        <f>QUARTILE(Q19:EC19,2)</f>
        <v>9.567499999999999</v>
      </c>
      <c r="I19" s="113">
        <f>MIN(Q19:EC19)</f>
        <v>9.3</v>
      </c>
      <c r="J19" s="113">
        <f>MAX(Q19:EC19)</f>
        <v>10</v>
      </c>
      <c r="K19" s="113">
        <f>PERCENTILE(Q19:EC19,0.95)</f>
        <v>9.955</v>
      </c>
      <c r="L19" s="102" t="str">
        <f>IF(H19&gt;8,"A",IF(H19&gt;6,"B",IF(H19&gt;4,"C",IF(H19&gt;2,"D","E"))))</f>
        <v>A</v>
      </c>
      <c r="N19" s="116" t="s">
        <v>96</v>
      </c>
      <c r="O19" s="108"/>
      <c r="P19" t="s">
        <v>96</v>
      </c>
      <c r="W19">
        <v>9.3</v>
      </c>
      <c r="Z19">
        <v>9.7</v>
      </c>
      <c r="AD19">
        <v>10</v>
      </c>
      <c r="AH19">
        <v>9.435</v>
      </c>
    </row>
    <row r="20" spans="2:34" ht="13.5" thickBot="1">
      <c r="B20" s="72"/>
      <c r="C20" s="97" t="s">
        <v>122</v>
      </c>
      <c r="D20" s="87">
        <f>COUNT(Q20:EC20)</f>
        <v>4</v>
      </c>
      <c r="E20" s="114">
        <f>AVERAGE(Q20:EC20)</f>
        <v>0</v>
      </c>
      <c r="F20" s="114" t="e">
        <f>CONFIDENCE(0.05,G20,D20)</f>
        <v>#NUM!</v>
      </c>
      <c r="G20" s="114">
        <f>STDEV(Q20:EC20)</f>
        <v>0</v>
      </c>
      <c r="H20" s="114">
        <f>QUARTILE(Q20:EC20,2)</f>
        <v>0</v>
      </c>
      <c r="I20" s="114">
        <f>MIN(Q20:EC20)</f>
        <v>0</v>
      </c>
      <c r="J20" s="114">
        <f>MAX(Q20:EC20)</f>
        <v>0</v>
      </c>
      <c r="K20" s="114">
        <f>PERCENTILE(Q20:EC20,0.95)</f>
        <v>0</v>
      </c>
      <c r="L20" s="105"/>
      <c r="N20" s="116" t="s">
        <v>97</v>
      </c>
      <c r="O20" s="108"/>
      <c r="P20" t="s">
        <v>97</v>
      </c>
      <c r="W20">
        <v>0</v>
      </c>
      <c r="Z20">
        <v>0</v>
      </c>
      <c r="AD20">
        <v>0</v>
      </c>
      <c r="AH20">
        <v>0</v>
      </c>
    </row>
    <row r="21" spans="2:15" ht="12.75">
      <c r="B21" s="80"/>
      <c r="C21" s="89"/>
      <c r="D21" s="89"/>
      <c r="E21" s="89"/>
      <c r="F21" s="89"/>
      <c r="G21" s="89"/>
      <c r="H21" s="89"/>
      <c r="I21" s="89"/>
      <c r="J21" s="89"/>
      <c r="K21" s="89"/>
      <c r="L21" s="100"/>
      <c r="O21" s="108"/>
    </row>
    <row r="22" spans="2:17" ht="12.75">
      <c r="B22" s="210" t="s">
        <v>119</v>
      </c>
      <c r="C22" s="211"/>
      <c r="D22" s="211"/>
      <c r="E22" s="211"/>
      <c r="F22" s="211"/>
      <c r="G22" s="76" t="str">
        <f>'Combined Score Calcs'!T10</f>
        <v>B</v>
      </c>
      <c r="H22" s="39"/>
      <c r="I22" s="39"/>
      <c r="J22" s="39"/>
      <c r="K22" s="99"/>
      <c r="L22" s="90"/>
      <c r="N22" s="111"/>
      <c r="O22" s="108"/>
      <c r="Q22" s="20"/>
    </row>
    <row r="23" spans="2:17" ht="13.5" thickBot="1">
      <c r="B23" s="83"/>
      <c r="C23" s="84"/>
      <c r="D23" s="84"/>
      <c r="E23" s="84"/>
      <c r="F23" s="84"/>
      <c r="G23" s="84"/>
      <c r="H23" s="84"/>
      <c r="I23" s="84"/>
      <c r="J23" s="84"/>
      <c r="K23" s="84"/>
      <c r="L23" s="91"/>
      <c r="N23" s="111"/>
      <c r="O23" s="108"/>
      <c r="Q23" s="20"/>
    </row>
    <row r="24" spans="12:17" ht="12.75">
      <c r="L24" s="60"/>
      <c r="N24" s="111"/>
      <c r="O24" s="108"/>
      <c r="Q24" s="20"/>
    </row>
    <row r="25" spans="12:15" ht="12.75">
      <c r="L25" s="60"/>
      <c r="O25" s="108"/>
    </row>
    <row r="26" spans="12:15" ht="12.75">
      <c r="L26" s="60"/>
      <c r="O26" s="108"/>
    </row>
    <row r="27" spans="12:15" ht="12.75">
      <c r="L27" s="60"/>
      <c r="O27" s="108"/>
    </row>
    <row r="28" spans="7:15" ht="12.75">
      <c r="G28" t="s">
        <v>140</v>
      </c>
      <c r="H28" t="s">
        <v>141</v>
      </c>
      <c r="L28" s="60"/>
      <c r="O28" s="108"/>
    </row>
    <row r="29" spans="5:15" ht="12.75">
      <c r="E29" s="158"/>
      <c r="F29" s="153"/>
      <c r="G29" s="118" t="s">
        <v>21</v>
      </c>
      <c r="H29" s="136">
        <v>1.5</v>
      </c>
      <c r="I29" s="137">
        <v>10</v>
      </c>
      <c r="J29" s="119"/>
      <c r="K29" s="119"/>
      <c r="L29" s="60"/>
      <c r="O29" s="108"/>
    </row>
    <row r="30" spans="5:12" ht="12.75">
      <c r="E30" s="158"/>
      <c r="F30" s="153"/>
      <c r="G30" s="122" t="s">
        <v>22</v>
      </c>
      <c r="H30" s="137">
        <v>65</v>
      </c>
      <c r="I30" s="137">
        <v>270</v>
      </c>
      <c r="J30" s="119"/>
      <c r="K30" s="119"/>
      <c r="L30" s="60"/>
    </row>
    <row r="31" spans="5:12" ht="12.75">
      <c r="E31" s="158"/>
      <c r="F31" s="153"/>
      <c r="G31" s="122" t="s">
        <v>23</v>
      </c>
      <c r="H31" s="137">
        <v>50</v>
      </c>
      <c r="I31" s="137">
        <v>220</v>
      </c>
      <c r="J31" s="119"/>
      <c r="K31" s="119"/>
      <c r="L31" s="60"/>
    </row>
    <row r="32" spans="5:12" ht="12.75">
      <c r="E32" s="158"/>
      <c r="F32" s="153"/>
      <c r="G32" s="122" t="s">
        <v>24</v>
      </c>
      <c r="H32" s="137">
        <v>200</v>
      </c>
      <c r="I32" s="137">
        <v>210</v>
      </c>
      <c r="J32" s="119"/>
      <c r="K32" s="119"/>
      <c r="L32" s="60"/>
    </row>
    <row r="33" spans="7:12" ht="12.75">
      <c r="G33" s="122"/>
      <c r="H33" t="s">
        <v>137</v>
      </c>
      <c r="I33" t="s">
        <v>138</v>
      </c>
      <c r="L33" s="60"/>
    </row>
    <row r="34" ht="12.75">
      <c r="L34" s="60"/>
    </row>
    <row r="35" ht="12.75">
      <c r="L35" s="60"/>
    </row>
    <row r="36" spans="5:12" ht="12.75">
      <c r="E36" s="158"/>
      <c r="F36" s="153"/>
      <c r="G36" s="119"/>
      <c r="H36" s="119"/>
      <c r="I36" s="119"/>
      <c r="J36" s="119"/>
      <c r="K36" s="119"/>
      <c r="L36" s="60"/>
    </row>
    <row r="37" spans="5:12" ht="12.75">
      <c r="E37" s="158"/>
      <c r="F37" s="153"/>
      <c r="G37" s="119"/>
      <c r="H37" s="119"/>
      <c r="I37" s="119"/>
      <c r="J37" s="119"/>
      <c r="K37" s="119"/>
      <c r="L37" s="60"/>
    </row>
    <row r="38" spans="5:12" ht="12.75">
      <c r="E38" s="158"/>
      <c r="F38" s="153"/>
      <c r="G38" s="119"/>
      <c r="H38" s="119"/>
      <c r="I38" s="119"/>
      <c r="J38" s="119"/>
      <c r="K38" s="119"/>
      <c r="L38" s="60"/>
    </row>
    <row r="39" spans="5:12" ht="12.75">
      <c r="E39" s="158"/>
      <c r="F39" s="153"/>
      <c r="G39" s="119"/>
      <c r="H39" s="119"/>
      <c r="I39" s="119"/>
      <c r="J39" s="119"/>
      <c r="K39" s="119"/>
      <c r="L39" s="60"/>
    </row>
    <row r="40" spans="5:12" ht="12.75">
      <c r="E40" s="158"/>
      <c r="F40" s="153"/>
      <c r="G40" s="119"/>
      <c r="H40" s="119"/>
      <c r="I40" s="119"/>
      <c r="J40" s="119"/>
      <c r="K40" s="119"/>
      <c r="L40" s="60"/>
    </row>
    <row r="41" spans="5:12" ht="12.75">
      <c r="E41" s="158"/>
      <c r="F41" s="153"/>
      <c r="G41" s="119"/>
      <c r="H41" s="119"/>
      <c r="I41" s="119"/>
      <c r="J41" s="119"/>
      <c r="K41" s="119"/>
      <c r="L41" s="60"/>
    </row>
    <row r="42" ht="12.75">
      <c r="L42" s="60"/>
    </row>
  </sheetData>
  <mergeCells count="1">
    <mergeCell ref="B22:F22"/>
  </mergeCells>
  <printOptions/>
  <pageMargins left="0.75" right="0.75" top="1" bottom="1" header="0.5" footer="0.5"/>
  <pageSetup horizontalDpi="600" verticalDpi="600" orientation="portrait" paperSize="133" r:id="rId1"/>
</worksheet>
</file>

<file path=xl/worksheets/sheet14.xml><?xml version="1.0" encoding="utf-8"?>
<worksheet xmlns="http://schemas.openxmlformats.org/spreadsheetml/2006/main" xmlns:r="http://schemas.openxmlformats.org/officeDocument/2006/relationships">
  <dimension ref="B1:AQ42"/>
  <sheetViews>
    <sheetView workbookViewId="0" topLeftCell="A1">
      <selection activeCell="B3" sqref="B3:L23"/>
    </sheetView>
  </sheetViews>
  <sheetFormatPr defaultColWidth="9.140625" defaultRowHeight="12.75"/>
  <cols>
    <col min="3" max="3" width="28.7109375" style="0" bestFit="1" customWidth="1"/>
    <col min="14" max="14" width="34.140625" style="0" customWidth="1"/>
    <col min="16" max="16" width="33.57421875" style="0" customWidth="1"/>
    <col min="17" max="17" width="14.421875" style="0" bestFit="1" customWidth="1"/>
  </cols>
  <sheetData>
    <row r="1" spans="2:15" ht="15.75">
      <c r="B1" s="107" t="s">
        <v>152</v>
      </c>
      <c r="O1" s="109" t="s">
        <v>125</v>
      </c>
    </row>
    <row r="2" spans="12:39" ht="13.5" thickBot="1">
      <c r="L2" s="60"/>
      <c r="N2" s="116" t="s">
        <v>84</v>
      </c>
      <c r="O2" s="110"/>
      <c r="P2" t="s">
        <v>84</v>
      </c>
      <c r="Q2" t="s">
        <v>57</v>
      </c>
      <c r="R2" t="s">
        <v>57</v>
      </c>
      <c r="S2" t="s">
        <v>57</v>
      </c>
      <c r="T2" t="s">
        <v>57</v>
      </c>
      <c r="U2" t="s">
        <v>57</v>
      </c>
      <c r="V2" t="s">
        <v>57</v>
      </c>
      <c r="W2" t="s">
        <v>57</v>
      </c>
      <c r="X2" t="s">
        <v>57</v>
      </c>
      <c r="Y2" t="s">
        <v>57</v>
      </c>
      <c r="Z2" t="s">
        <v>57</v>
      </c>
      <c r="AA2" t="s">
        <v>57</v>
      </c>
      <c r="AB2" t="s">
        <v>57</v>
      </c>
      <c r="AC2" t="s">
        <v>57</v>
      </c>
      <c r="AD2" t="s">
        <v>57</v>
      </c>
      <c r="AE2" t="s">
        <v>57</v>
      </c>
      <c r="AF2" t="s">
        <v>57</v>
      </c>
      <c r="AG2" t="s">
        <v>57</v>
      </c>
      <c r="AH2" t="s">
        <v>57</v>
      </c>
      <c r="AI2" t="s">
        <v>57</v>
      </c>
      <c r="AJ2" t="s">
        <v>57</v>
      </c>
      <c r="AK2" t="s">
        <v>57</v>
      </c>
      <c r="AL2" t="s">
        <v>57</v>
      </c>
      <c r="AM2" t="s">
        <v>57</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36836.65277777778</v>
      </c>
      <c r="R3" s="64">
        <v>36923.65625</v>
      </c>
      <c r="S3" s="64">
        <v>37013.631944444445</v>
      </c>
      <c r="T3" s="64">
        <v>37112.725694444445</v>
      </c>
      <c r="U3" s="64">
        <v>37222.461805555555</v>
      </c>
      <c r="V3" s="64">
        <v>37383.62152777778</v>
      </c>
      <c r="W3" s="64">
        <v>37474.583333333336</v>
      </c>
      <c r="X3" s="64">
        <v>37586.47222222222</v>
      </c>
      <c r="Y3" s="64">
        <v>37648.569444444445</v>
      </c>
      <c r="Z3" s="64">
        <v>37746.645833333336</v>
      </c>
      <c r="AA3" s="64">
        <v>37837.604166666664</v>
      </c>
      <c r="AB3" s="64">
        <v>37949.70486111111</v>
      </c>
      <c r="AC3" s="64">
        <v>38027.61111111111</v>
      </c>
      <c r="AD3" s="64">
        <v>38111.625</v>
      </c>
      <c r="AE3" s="64">
        <v>38202.525</v>
      </c>
      <c r="AF3" s="64">
        <v>38335.75</v>
      </c>
      <c r="AG3" s="64">
        <v>38393.51388888889</v>
      </c>
      <c r="AH3" s="64">
        <v>38477.57430555556</v>
      </c>
      <c r="AI3" s="64">
        <v>38593.58819444444</v>
      </c>
      <c r="AJ3" s="64">
        <v>38679.46875</v>
      </c>
      <c r="AK3" s="64">
        <v>38776.59930555556</v>
      </c>
      <c r="AL3" s="64">
        <v>38869.538194444445</v>
      </c>
      <c r="AM3" s="64">
        <v>38960.52569444444</v>
      </c>
      <c r="AO3" s="64"/>
      <c r="AP3" s="64"/>
      <c r="AQ3" s="64"/>
    </row>
    <row r="4" spans="2:39" ht="12.75">
      <c r="B4" s="68" t="s">
        <v>103</v>
      </c>
      <c r="C4" s="93" t="s">
        <v>4</v>
      </c>
      <c r="D4" s="81">
        <f>COUNT(Q4:EC4)</f>
        <v>20</v>
      </c>
      <c r="E4" s="82">
        <f>AVERAGE(Q4:EC4)</f>
        <v>0.6033499999999999</v>
      </c>
      <c r="F4" s="82">
        <f aca="true" t="shared" si="0" ref="F4:F15">CONFIDENCE(0.05,G4,D4)</f>
        <v>0.2655468275798904</v>
      </c>
      <c r="G4" s="82">
        <f>STDEV(Q4:EC4)</f>
        <v>0.6059098660605172</v>
      </c>
      <c r="H4" s="82">
        <f>QUARTILE(Q4:EC4,2)</f>
        <v>0.48</v>
      </c>
      <c r="I4" s="82">
        <f>MIN(Q4:EC4)</f>
        <v>0.003</v>
      </c>
      <c r="J4" s="82">
        <f>MAX(Q4:EC4)</f>
        <v>2</v>
      </c>
      <c r="K4" s="82">
        <f>PERCENTILE(Q4:EC4,0.95)</f>
        <v>1.905</v>
      </c>
      <c r="L4" s="102" t="str">
        <f>IF((H4+H5)&lt;0.08,"A",IF((H4+H5)&lt;0.12,"B",IF((H4+H5)&lt;0.295,"C",IF((H4+H5)&lt;0.444,"D","E"))))</f>
        <v>E</v>
      </c>
      <c r="N4" s="116" t="s">
        <v>86</v>
      </c>
      <c r="O4" s="108"/>
      <c r="P4" t="s">
        <v>86</v>
      </c>
      <c r="R4">
        <v>0.02</v>
      </c>
      <c r="S4">
        <v>0.06</v>
      </c>
      <c r="V4">
        <v>0.83</v>
      </c>
      <c r="W4">
        <v>1.9</v>
      </c>
      <c r="X4">
        <v>2</v>
      </c>
      <c r="Y4">
        <v>0.52</v>
      </c>
      <c r="Z4">
        <v>1.4</v>
      </c>
      <c r="AA4">
        <v>0.88</v>
      </c>
      <c r="AB4">
        <v>0.34</v>
      </c>
      <c r="AC4">
        <v>0.56</v>
      </c>
      <c r="AD4">
        <v>0.98</v>
      </c>
      <c r="AE4">
        <v>0.95</v>
      </c>
      <c r="AF4">
        <v>0.16</v>
      </c>
      <c r="AG4">
        <v>0.072</v>
      </c>
      <c r="AH4">
        <v>0.048</v>
      </c>
      <c r="AI4">
        <v>0.6</v>
      </c>
      <c r="AJ4">
        <v>0.044</v>
      </c>
      <c r="AK4">
        <v>0.003</v>
      </c>
      <c r="AL4">
        <v>0.44</v>
      </c>
      <c r="AM4">
        <v>0.26</v>
      </c>
    </row>
    <row r="5" spans="2:39" ht="12.75">
      <c r="B5" s="69"/>
      <c r="C5" s="5" t="s">
        <v>5</v>
      </c>
      <c r="D5" s="73">
        <f>COUNT(Q5:EC5)</f>
        <v>18</v>
      </c>
      <c r="E5" s="112">
        <f>AVERAGE(Q5:EC5)</f>
        <v>0.006388888888888892</v>
      </c>
      <c r="F5" s="112">
        <f t="shared" si="0"/>
        <v>0.0010527204845916245</v>
      </c>
      <c r="G5" s="112">
        <f>STDEV(Q5:EC5)</f>
        <v>0.0022787738934603274</v>
      </c>
      <c r="H5" s="112">
        <f>QUARTILE(Q5:EC5,2)</f>
        <v>0.005</v>
      </c>
      <c r="I5" s="112">
        <f>MIN(Q5:EC5)</f>
        <v>0.005</v>
      </c>
      <c r="J5" s="112">
        <f>MAX(Q5:EC5)</f>
        <v>0.012</v>
      </c>
      <c r="K5" s="112">
        <f>PERCENTILE(Q5:EC5,0.95)</f>
        <v>0.012</v>
      </c>
      <c r="L5" s="102"/>
      <c r="N5" s="116" t="s">
        <v>87</v>
      </c>
      <c r="O5" s="108"/>
      <c r="P5" t="s">
        <v>87</v>
      </c>
      <c r="V5">
        <v>0.008</v>
      </c>
      <c r="W5">
        <v>0.012</v>
      </c>
      <c r="X5">
        <v>0.012</v>
      </c>
      <c r="Y5">
        <v>0.006</v>
      </c>
      <c r="Z5">
        <v>0.007</v>
      </c>
      <c r="AA5">
        <v>0.006</v>
      </c>
      <c r="AB5">
        <v>0.008</v>
      </c>
      <c r="AC5">
        <v>0.005</v>
      </c>
      <c r="AD5">
        <v>0.005</v>
      </c>
      <c r="AE5">
        <v>0.005</v>
      </c>
      <c r="AF5">
        <v>0.005</v>
      </c>
      <c r="AG5">
        <v>0.006</v>
      </c>
      <c r="AH5">
        <v>0.005</v>
      </c>
      <c r="AI5">
        <v>0.005</v>
      </c>
      <c r="AJ5">
        <v>0.005</v>
      </c>
      <c r="AK5">
        <v>0.005</v>
      </c>
      <c r="AL5">
        <v>0.005</v>
      </c>
      <c r="AM5">
        <v>0.005</v>
      </c>
    </row>
    <row r="6" spans="2:39" ht="12.75">
      <c r="B6" s="70"/>
      <c r="C6" s="94" t="s">
        <v>6</v>
      </c>
      <c r="D6" s="73">
        <f>COUNT(Q6:EC6)</f>
        <v>23</v>
      </c>
      <c r="E6" s="112">
        <f>AVERAGE(Q6:EC6)</f>
        <v>0.007913043478260872</v>
      </c>
      <c r="F6" s="112">
        <f t="shared" si="0"/>
        <v>0.0012977144536300942</v>
      </c>
      <c r="G6" s="112">
        <f>STDEV(Q6:EC6)</f>
        <v>0.003175374616099514</v>
      </c>
      <c r="H6" s="112">
        <f>QUARTILE(Q6:EC6,2)</f>
        <v>0.008</v>
      </c>
      <c r="I6" s="112">
        <f>MIN(Q6:EC6)</f>
        <v>0.002</v>
      </c>
      <c r="J6" s="112">
        <f>MAX(Q6:EC6)</f>
        <v>0.017</v>
      </c>
      <c r="K6" s="112">
        <f>PERCENTILE(Q6:EC6,0.95)</f>
        <v>0.011899999999999999</v>
      </c>
      <c r="L6" s="102" t="str">
        <f>IF((H6)&lt;0.005,"A",IF((H6)&lt;0.008,"B",IF((H6)&lt;0.026,"C",IF((H6)&lt;0.05,"D","E"))))</f>
        <v>C</v>
      </c>
      <c r="N6" s="116" t="s">
        <v>88</v>
      </c>
      <c r="O6" s="108"/>
      <c r="P6" t="s">
        <v>88</v>
      </c>
      <c r="Q6">
        <v>0.01</v>
      </c>
      <c r="R6">
        <v>0.008</v>
      </c>
      <c r="S6">
        <v>0.017</v>
      </c>
      <c r="T6">
        <v>0.009</v>
      </c>
      <c r="U6">
        <v>0.011</v>
      </c>
      <c r="V6">
        <v>0.006</v>
      </c>
      <c r="W6">
        <v>0.005</v>
      </c>
      <c r="X6">
        <v>0.006</v>
      </c>
      <c r="Y6">
        <v>0.006</v>
      </c>
      <c r="Z6">
        <v>0.006</v>
      </c>
      <c r="AA6">
        <v>0.01</v>
      </c>
      <c r="AB6">
        <v>0.01</v>
      </c>
      <c r="AC6">
        <v>0.009</v>
      </c>
      <c r="AD6">
        <v>0.009</v>
      </c>
      <c r="AE6">
        <v>0.012</v>
      </c>
      <c r="AF6">
        <v>0.007</v>
      </c>
      <c r="AG6">
        <v>0.01</v>
      </c>
      <c r="AH6">
        <v>0.002</v>
      </c>
      <c r="AI6">
        <v>0.005</v>
      </c>
      <c r="AJ6">
        <v>0.007</v>
      </c>
      <c r="AK6">
        <v>0.005</v>
      </c>
      <c r="AL6">
        <v>0.008</v>
      </c>
      <c r="AM6">
        <v>0.004</v>
      </c>
    </row>
    <row r="7" spans="2:39" ht="12.75">
      <c r="B7" s="71" t="s">
        <v>104</v>
      </c>
      <c r="C7" s="6" t="s">
        <v>7</v>
      </c>
      <c r="D7" s="86">
        <f>COUNT(Q7:EC7)</f>
        <v>23</v>
      </c>
      <c r="E7" s="113">
        <f>AVERAGE(Q7:EC7)</f>
        <v>7.780869565217392</v>
      </c>
      <c r="F7" s="113">
        <f t="shared" si="0"/>
        <v>0.14405851512210968</v>
      </c>
      <c r="G7" s="113">
        <f>STDEV(Q7:EC7)</f>
        <v>0.35249646089102243</v>
      </c>
      <c r="H7" s="113">
        <f>QUARTILE(Q7:EC7,2)</f>
        <v>7.8</v>
      </c>
      <c r="I7" s="113">
        <f>MIN(Q7:EC7)</f>
        <v>7.12</v>
      </c>
      <c r="J7" s="113">
        <f>MAX(Q7:EC7)</f>
        <v>8.42</v>
      </c>
      <c r="K7" s="113">
        <f>PERCENTILE(Q7:EC7,0.95)</f>
        <v>8.274</v>
      </c>
      <c r="L7" s="103" t="str">
        <f>IF(AND(7.2&lt;H7,H7&lt;9),"A",IF(AND(7.2&lt;=H7,H7&lt;=9),"B",IF(AND(6.5&lt;=H7,H7&lt;=9),"C",IF(AND(6.5&lt;=H7,H7&lt;=10),"D","E"))))</f>
        <v>A</v>
      </c>
      <c r="N7" s="116" t="s">
        <v>89</v>
      </c>
      <c r="O7" s="108"/>
      <c r="P7" t="s">
        <v>89</v>
      </c>
      <c r="Q7">
        <v>7.98</v>
      </c>
      <c r="R7">
        <v>8.22</v>
      </c>
      <c r="S7">
        <v>8.22</v>
      </c>
      <c r="T7">
        <v>7.86</v>
      </c>
      <c r="U7">
        <v>7.12</v>
      </c>
      <c r="V7">
        <v>7.91</v>
      </c>
      <c r="W7">
        <v>8.21</v>
      </c>
      <c r="X7">
        <v>7.91</v>
      </c>
      <c r="Y7">
        <v>8</v>
      </c>
      <c r="Z7">
        <v>7.66</v>
      </c>
      <c r="AA7">
        <v>7.57</v>
      </c>
      <c r="AB7">
        <v>7.81</v>
      </c>
      <c r="AC7">
        <v>7.44</v>
      </c>
      <c r="AD7">
        <v>7.29</v>
      </c>
      <c r="AE7">
        <v>7.45</v>
      </c>
      <c r="AF7">
        <v>7.8</v>
      </c>
      <c r="AG7">
        <v>7.7</v>
      </c>
      <c r="AH7">
        <v>7.62</v>
      </c>
      <c r="AI7">
        <v>8.28</v>
      </c>
      <c r="AJ7">
        <v>7.38</v>
      </c>
      <c r="AK7">
        <v>7.31</v>
      </c>
      <c r="AL7">
        <v>7.8</v>
      </c>
      <c r="AM7">
        <v>8.42</v>
      </c>
    </row>
    <row r="8" spans="2:39" ht="12.75">
      <c r="B8" s="71"/>
      <c r="C8" s="6" t="s">
        <v>8</v>
      </c>
      <c r="D8" s="81">
        <f>COUNT(Q8:EC8)</f>
        <v>23</v>
      </c>
      <c r="E8" s="44">
        <f>AVERAGE(Q8:EC8)</f>
        <v>13.24086956521739</v>
      </c>
      <c r="F8" s="44">
        <f t="shared" si="0"/>
        <v>1.5396631410329977</v>
      </c>
      <c r="G8" s="44">
        <f>STDEV(Q8:EC8)</f>
        <v>3.767398322261277</v>
      </c>
      <c r="H8" s="44">
        <f>QUARTILE(Q8:EC8,2)</f>
        <v>12.6</v>
      </c>
      <c r="I8" s="44">
        <f>MIN(Q8:EC8)</f>
        <v>6.7</v>
      </c>
      <c r="J8" s="44">
        <f>MAX(Q8:EC8)</f>
        <v>18.9</v>
      </c>
      <c r="K8" s="44">
        <f>PERCENTILE(Q8:EC8,0.95)</f>
        <v>18.735</v>
      </c>
      <c r="L8" s="102" t="str">
        <f>IF(H8&lt;18,"A",IF(H8&lt;20,"B",IF(H8&lt;22,"C",IF(H8&lt;25,"D","E"))))</f>
        <v>A</v>
      </c>
      <c r="N8" s="116" t="s">
        <v>90</v>
      </c>
      <c r="O8" s="108"/>
      <c r="P8" t="s">
        <v>90</v>
      </c>
      <c r="Q8">
        <v>15.2</v>
      </c>
      <c r="R8">
        <v>18.9</v>
      </c>
      <c r="S8">
        <v>12.6</v>
      </c>
      <c r="T8">
        <v>9.4</v>
      </c>
      <c r="U8">
        <v>12.5</v>
      </c>
      <c r="V8">
        <v>12.78</v>
      </c>
      <c r="W8">
        <v>8.6</v>
      </c>
      <c r="X8">
        <v>13.3</v>
      </c>
      <c r="Y8">
        <v>15.6</v>
      </c>
      <c r="Z8">
        <v>11.6</v>
      </c>
      <c r="AA8">
        <v>9.3</v>
      </c>
      <c r="AB8">
        <v>17.7</v>
      </c>
      <c r="AC8">
        <v>18.6</v>
      </c>
      <c r="AD8">
        <v>11.4</v>
      </c>
      <c r="AE8">
        <v>6.7</v>
      </c>
      <c r="AF8">
        <v>17.4</v>
      </c>
      <c r="AG8">
        <v>18.5</v>
      </c>
      <c r="AH8">
        <v>12.3</v>
      </c>
      <c r="AI8">
        <v>10.77</v>
      </c>
      <c r="AJ8">
        <v>14.61</v>
      </c>
      <c r="AK8">
        <v>18.75</v>
      </c>
      <c r="AL8">
        <v>8.53</v>
      </c>
      <c r="AM8">
        <v>9.5</v>
      </c>
    </row>
    <row r="9" spans="2:39" ht="12.75">
      <c r="B9" s="71"/>
      <c r="C9" s="7" t="s">
        <v>9</v>
      </c>
      <c r="D9" s="81">
        <f>COUNT(Q9:EC9)</f>
        <v>23</v>
      </c>
      <c r="E9" s="44">
        <f>AVERAGE(Q9:EC9)</f>
        <v>104.40434782608696</v>
      </c>
      <c r="F9" s="44">
        <f t="shared" si="0"/>
        <v>2.7692723739772767</v>
      </c>
      <c r="G9" s="44">
        <f>STDEV(Q9:EC9)</f>
        <v>6.776126425035267</v>
      </c>
      <c r="H9" s="44">
        <f>QUARTILE(Q9:EC9,2)</f>
        <v>104</v>
      </c>
      <c r="I9" s="44">
        <f>MIN(Q9:EC9)</f>
        <v>92.5</v>
      </c>
      <c r="J9" s="44">
        <f>MAX(Q9:EC9)</f>
        <v>119.1</v>
      </c>
      <c r="K9" s="44">
        <f>PERCENTILE(Q9:EC9,0.95)</f>
        <v>113.34</v>
      </c>
      <c r="L9" s="104" t="str">
        <f>IF(AND(99&lt;=H9,H9&lt;=103),"A",IF(AND(98&lt;=H9,H9&lt;=105),"B",IF(H9&gt;90,"C",IF(H9&gt;80,"D","E"))))</f>
        <v>B</v>
      </c>
      <c r="N9" s="116" t="s">
        <v>91</v>
      </c>
      <c r="O9" s="108"/>
      <c r="P9" t="s">
        <v>91</v>
      </c>
      <c r="Q9">
        <v>95.8</v>
      </c>
      <c r="R9">
        <v>100.5</v>
      </c>
      <c r="S9">
        <v>92.5</v>
      </c>
      <c r="T9">
        <v>95.6</v>
      </c>
      <c r="U9">
        <v>99.6</v>
      </c>
      <c r="V9">
        <v>104.1</v>
      </c>
      <c r="W9">
        <v>111.7</v>
      </c>
      <c r="X9">
        <v>107.6</v>
      </c>
      <c r="Y9">
        <v>113.4</v>
      </c>
      <c r="Z9">
        <v>100.3</v>
      </c>
      <c r="AA9">
        <v>102.7</v>
      </c>
      <c r="AB9">
        <v>108.2</v>
      </c>
      <c r="AC9">
        <v>104</v>
      </c>
      <c r="AD9">
        <v>100</v>
      </c>
      <c r="AE9">
        <v>98.3</v>
      </c>
      <c r="AF9">
        <v>99.3</v>
      </c>
      <c r="AG9">
        <v>112.3</v>
      </c>
      <c r="AH9">
        <v>109.5</v>
      </c>
      <c r="AI9">
        <v>119.1</v>
      </c>
      <c r="AJ9">
        <v>106.8</v>
      </c>
      <c r="AK9">
        <v>107.8</v>
      </c>
      <c r="AL9">
        <v>99.4</v>
      </c>
      <c r="AM9">
        <v>112.8</v>
      </c>
    </row>
    <row r="10" spans="2:39" ht="12.75">
      <c r="B10" s="71"/>
      <c r="C10" s="6" t="s">
        <v>10</v>
      </c>
      <c r="D10" s="81">
        <f>COUNT(Q10:EC10)</f>
        <v>23</v>
      </c>
      <c r="E10" s="44">
        <f>AVERAGE(Q10:EC10)</f>
        <v>10.965217391304348</v>
      </c>
      <c r="F10" s="44">
        <f t="shared" si="0"/>
        <v>0.4467653402203304</v>
      </c>
      <c r="G10" s="44">
        <f>STDEV(Q10:EC10)</f>
        <v>1.0931891193169043</v>
      </c>
      <c r="H10" s="44">
        <f>QUARTILE(Q10:EC10,2)</f>
        <v>10.88</v>
      </c>
      <c r="I10" s="44">
        <f>MIN(Q10:EC10)</f>
        <v>9.34</v>
      </c>
      <c r="J10" s="44">
        <f>MAX(Q10:EC10)</f>
        <v>13.19</v>
      </c>
      <c r="K10" s="44">
        <f>PERCENTILE(Q10:EC10,0.95)</f>
        <v>13.024</v>
      </c>
      <c r="L10" s="102"/>
      <c r="N10" s="116" t="s">
        <v>92</v>
      </c>
      <c r="O10" s="108"/>
      <c r="P10" t="s">
        <v>92</v>
      </c>
      <c r="Q10">
        <v>9.6</v>
      </c>
      <c r="R10">
        <v>9.34</v>
      </c>
      <c r="S10">
        <v>9.9</v>
      </c>
      <c r="T10">
        <v>10.85</v>
      </c>
      <c r="U10">
        <v>10.59</v>
      </c>
      <c r="V10">
        <v>11.01</v>
      </c>
      <c r="W10">
        <v>13.04</v>
      </c>
      <c r="X10">
        <v>11.27</v>
      </c>
      <c r="Y10">
        <v>11.29</v>
      </c>
      <c r="Z10">
        <v>10.88</v>
      </c>
      <c r="AA10">
        <v>11.17</v>
      </c>
      <c r="AB10">
        <v>10.27</v>
      </c>
      <c r="AC10">
        <v>9.73</v>
      </c>
      <c r="AD10">
        <v>10.9</v>
      </c>
      <c r="AE10">
        <v>12.02</v>
      </c>
      <c r="AF10">
        <v>9.51</v>
      </c>
      <c r="AG10">
        <v>10.52</v>
      </c>
      <c r="AH10">
        <v>11.74</v>
      </c>
      <c r="AI10">
        <v>13.19</v>
      </c>
      <c r="AJ10">
        <v>10.85</v>
      </c>
      <c r="AK10">
        <v>10.04</v>
      </c>
      <c r="AL10">
        <v>11.61</v>
      </c>
      <c r="AM10">
        <v>12.88</v>
      </c>
    </row>
    <row r="11" spans="2:39" ht="12.75">
      <c r="B11" s="72"/>
      <c r="C11" s="95" t="s">
        <v>11</v>
      </c>
      <c r="D11" s="87">
        <f>COUNT(Q11:EC11)</f>
        <v>23</v>
      </c>
      <c r="E11" s="115">
        <f>AVERAGE(Q11:EC11)</f>
        <v>193.58260869565217</v>
      </c>
      <c r="F11" s="115">
        <f t="shared" si="0"/>
        <v>14.620096402026347</v>
      </c>
      <c r="G11" s="115">
        <f>STDEV(Q11:EC11)</f>
        <v>35.77388143444017</v>
      </c>
      <c r="H11" s="115">
        <f>QUARTILE(Q11:EC11,2)</f>
        <v>191</v>
      </c>
      <c r="I11" s="115">
        <f>MIN(Q11:EC11)</f>
        <v>125</v>
      </c>
      <c r="J11" s="115">
        <f>MAX(Q11:EC11)</f>
        <v>256.6</v>
      </c>
      <c r="K11" s="115">
        <f>PERCENTILE(Q11:EC11,0.95)</f>
        <v>248.49999999999997</v>
      </c>
      <c r="L11" s="105"/>
      <c r="N11" s="116" t="s">
        <v>93</v>
      </c>
      <c r="O11" s="108"/>
      <c r="P11" t="s">
        <v>93</v>
      </c>
      <c r="Q11">
        <v>198.4</v>
      </c>
      <c r="R11">
        <v>226.8</v>
      </c>
      <c r="S11">
        <v>256.6</v>
      </c>
      <c r="T11">
        <v>181.4</v>
      </c>
      <c r="U11">
        <v>137.2</v>
      </c>
      <c r="V11">
        <v>221</v>
      </c>
      <c r="W11">
        <v>194</v>
      </c>
      <c r="X11">
        <v>213</v>
      </c>
      <c r="Y11">
        <v>228</v>
      </c>
      <c r="Z11">
        <v>212</v>
      </c>
      <c r="AA11">
        <v>190</v>
      </c>
      <c r="AB11">
        <v>191</v>
      </c>
      <c r="AC11">
        <v>173</v>
      </c>
      <c r="AD11">
        <v>125</v>
      </c>
      <c r="AE11">
        <v>138</v>
      </c>
      <c r="AF11">
        <v>179</v>
      </c>
      <c r="AG11">
        <v>188</v>
      </c>
      <c r="AH11">
        <v>222</v>
      </c>
      <c r="AI11">
        <v>158</v>
      </c>
      <c r="AJ11">
        <v>235</v>
      </c>
      <c r="AK11">
        <v>250</v>
      </c>
      <c r="AL11">
        <v>156</v>
      </c>
      <c r="AM11">
        <v>179</v>
      </c>
    </row>
    <row r="12" spans="2:39" ht="12.75">
      <c r="B12" s="68" t="s">
        <v>105</v>
      </c>
      <c r="C12" s="4" t="s">
        <v>12</v>
      </c>
      <c r="D12" s="81">
        <f>COUNT(Q12:EC12)</f>
        <v>23</v>
      </c>
      <c r="E12" s="82">
        <f>AVERAGE(Q12:EC12)</f>
        <v>2.498695652173913</v>
      </c>
      <c r="F12" s="82">
        <f t="shared" si="0"/>
        <v>1.3962541423326544</v>
      </c>
      <c r="G12" s="82">
        <f>STDEV(Q12:EC12)</f>
        <v>3.416491161660968</v>
      </c>
      <c r="H12" s="82">
        <f>QUARTILE(Q12:EC12,2)</f>
        <v>1.5</v>
      </c>
      <c r="I12" s="82">
        <f>MIN(Q12:EC12)</f>
        <v>0.6</v>
      </c>
      <c r="J12" s="82">
        <f>MAX(Q12:EC12)</f>
        <v>16.5</v>
      </c>
      <c r="K12" s="82">
        <f>PERCENTILE(Q12:EC12,0.95)</f>
        <v>7.444999999999994</v>
      </c>
      <c r="L12" s="102" t="str">
        <f>IF(H12&lt;1,"A",IF(H12&lt;2,"B",IF(H12&lt;3,"C",IF(H12&lt;5,"D","E"))))</f>
        <v>B</v>
      </c>
      <c r="N12" s="116" t="s">
        <v>94</v>
      </c>
      <c r="O12" s="108"/>
      <c r="P12" t="s">
        <v>94</v>
      </c>
      <c r="Q12">
        <v>2.29</v>
      </c>
      <c r="R12">
        <v>0.77</v>
      </c>
      <c r="S12">
        <v>0.71</v>
      </c>
      <c r="T12">
        <v>7.84</v>
      </c>
      <c r="U12">
        <v>2.21</v>
      </c>
      <c r="V12">
        <v>1.95</v>
      </c>
      <c r="W12">
        <v>3.89</v>
      </c>
      <c r="X12">
        <v>2.75</v>
      </c>
      <c r="Y12">
        <v>1.28</v>
      </c>
      <c r="Z12">
        <v>1.39</v>
      </c>
      <c r="AA12">
        <v>1.4</v>
      </c>
      <c r="AB12">
        <v>1.5</v>
      </c>
      <c r="AC12">
        <v>0.6</v>
      </c>
      <c r="AD12">
        <v>16.5</v>
      </c>
      <c r="AE12">
        <v>2.26</v>
      </c>
      <c r="AF12">
        <v>0.84</v>
      </c>
      <c r="AG12">
        <v>0.9</v>
      </c>
      <c r="AH12">
        <v>0.65</v>
      </c>
      <c r="AI12">
        <v>1.6</v>
      </c>
      <c r="AJ12">
        <v>1.11</v>
      </c>
      <c r="AK12">
        <v>0.9</v>
      </c>
      <c r="AL12">
        <v>1.5</v>
      </c>
      <c r="AM12">
        <v>2.63</v>
      </c>
    </row>
    <row r="13" spans="2:39" ht="12.75">
      <c r="B13" s="71"/>
      <c r="C13" s="6" t="s">
        <v>13</v>
      </c>
      <c r="D13" s="81">
        <f>COUNT(Q13:EC13)</f>
        <v>22</v>
      </c>
      <c r="E13" s="44">
        <f>AVERAGE(Q13:EC13)</f>
        <v>2.890909090909091</v>
      </c>
      <c r="F13" s="44">
        <f t="shared" si="0"/>
        <v>0.434863257619066</v>
      </c>
      <c r="G13" s="44">
        <f>STDEV(Q13:EC13)</f>
        <v>1.040677019064347</v>
      </c>
      <c r="H13" s="44">
        <f>QUARTILE(Q13:EC13,2)</f>
        <v>2.75</v>
      </c>
      <c r="I13" s="44">
        <f>MIN(Q13:EC13)</f>
        <v>0.6</v>
      </c>
      <c r="J13" s="44">
        <f>MAX(Q13:EC13)</f>
        <v>4.95</v>
      </c>
      <c r="K13" s="44">
        <f>PERCENTILE(Q13:EC13,0.95)</f>
        <v>4.4799999999999995</v>
      </c>
      <c r="L13" s="102" t="str">
        <f>IF(H13&gt;6,"A",IF(H13&gt;4,"B",IF(H13&gt;2.5,"C",IF(H13&gt;0.6,"D","E"))))</f>
        <v>C</v>
      </c>
      <c r="N13" s="116" t="s">
        <v>13</v>
      </c>
      <c r="O13" s="108"/>
      <c r="P13" t="s">
        <v>13</v>
      </c>
      <c r="Q13">
        <v>2.2</v>
      </c>
      <c r="R13">
        <v>2.2</v>
      </c>
      <c r="S13">
        <v>2.7</v>
      </c>
      <c r="U13">
        <v>2.6</v>
      </c>
      <c r="V13">
        <v>3.2</v>
      </c>
      <c r="W13">
        <v>1.8</v>
      </c>
      <c r="X13">
        <v>1.3</v>
      </c>
      <c r="Y13">
        <v>2</v>
      </c>
      <c r="Z13">
        <v>3.1</v>
      </c>
      <c r="AA13">
        <v>4.5</v>
      </c>
      <c r="AB13">
        <v>4.95</v>
      </c>
      <c r="AC13">
        <v>3.9</v>
      </c>
      <c r="AD13">
        <v>0.6</v>
      </c>
      <c r="AE13">
        <v>3.6</v>
      </c>
      <c r="AF13">
        <v>3.3</v>
      </c>
      <c r="AG13">
        <v>2.6</v>
      </c>
      <c r="AH13">
        <v>4.1</v>
      </c>
      <c r="AI13">
        <v>2.2</v>
      </c>
      <c r="AJ13">
        <v>2.8</v>
      </c>
      <c r="AK13">
        <v>3.6</v>
      </c>
      <c r="AL13">
        <v>3.7</v>
      </c>
      <c r="AM13">
        <v>2.65</v>
      </c>
    </row>
    <row r="14" spans="2:39" ht="12.75">
      <c r="B14" s="72"/>
      <c r="C14" s="95" t="s">
        <v>14</v>
      </c>
      <c r="D14" s="87">
        <f>COUNT(Q14:EC14)</f>
        <v>23</v>
      </c>
      <c r="E14" s="115">
        <f>AVERAGE(Q14:EC14)</f>
        <v>1.5217391304347827</v>
      </c>
      <c r="F14" s="115">
        <f t="shared" si="0"/>
        <v>0.5901744739251856</v>
      </c>
      <c r="G14" s="115">
        <f>STDEV(Q14:EC14)</f>
        <v>1.4440966102594541</v>
      </c>
      <c r="H14" s="115">
        <f>QUARTILE(Q14:EC14,2)</f>
        <v>1</v>
      </c>
      <c r="I14" s="115">
        <f>MIN(Q14:EC14)</f>
        <v>0.4</v>
      </c>
      <c r="J14" s="115">
        <f>MAX(Q14:EC14)</f>
        <v>7</v>
      </c>
      <c r="K14" s="115">
        <f>PERCENTILE(Q14:EC14,0.95)</f>
        <v>3.799999999999997</v>
      </c>
      <c r="L14" s="102"/>
      <c r="N14" s="116" t="s">
        <v>95</v>
      </c>
      <c r="O14" s="108"/>
      <c r="P14" t="s">
        <v>95</v>
      </c>
      <c r="Q14">
        <v>2</v>
      </c>
      <c r="R14">
        <v>2</v>
      </c>
      <c r="S14">
        <v>1</v>
      </c>
      <c r="T14">
        <v>4</v>
      </c>
      <c r="U14">
        <v>2</v>
      </c>
      <c r="V14">
        <v>0.6</v>
      </c>
      <c r="W14">
        <v>2</v>
      </c>
      <c r="X14">
        <v>2</v>
      </c>
      <c r="Y14">
        <v>2</v>
      </c>
      <c r="Z14">
        <v>0.9</v>
      </c>
      <c r="AA14">
        <v>0.7</v>
      </c>
      <c r="AB14">
        <v>0.8</v>
      </c>
      <c r="AC14">
        <v>0.9</v>
      </c>
      <c r="AD14">
        <v>7</v>
      </c>
      <c r="AE14">
        <v>1</v>
      </c>
      <c r="AF14">
        <v>0.8</v>
      </c>
      <c r="AG14">
        <v>0.7</v>
      </c>
      <c r="AH14">
        <v>0.4</v>
      </c>
      <c r="AI14">
        <v>1</v>
      </c>
      <c r="AJ14">
        <v>1</v>
      </c>
      <c r="AK14">
        <v>0.7</v>
      </c>
      <c r="AL14">
        <v>0.5</v>
      </c>
      <c r="AM14">
        <v>1</v>
      </c>
    </row>
    <row r="15" spans="2:39" ht="12.75">
      <c r="B15" s="208" t="s">
        <v>267</v>
      </c>
      <c r="C15" s="8" t="s">
        <v>268</v>
      </c>
      <c r="D15" s="81">
        <f>COUNT(Q15:EC15)</f>
        <v>23</v>
      </c>
      <c r="E15" s="40">
        <f>AVERAGE(Q15:EC15)</f>
        <v>108.26086956521739</v>
      </c>
      <c r="F15" s="40">
        <f t="shared" si="0"/>
        <v>42.406988098845645</v>
      </c>
      <c r="G15" s="40">
        <f>STDEV(Q15:EC15)</f>
        <v>103.76556504986891</v>
      </c>
      <c r="H15" s="40">
        <f>QUARTILE(Q15:EC15,2)</f>
        <v>75</v>
      </c>
      <c r="I15" s="40">
        <f>MIN(Q15:EC15)</f>
        <v>15</v>
      </c>
      <c r="J15" s="40">
        <f>MAX(Q15:EC15)</f>
        <v>440</v>
      </c>
      <c r="K15" s="40">
        <f>PERCENTILE(Q15:EC15,0.95)</f>
        <v>282.9999999999999</v>
      </c>
      <c r="L15" s="106" t="str">
        <f>IF(H15&lt;10,"A",IF(H15&lt;130,"B",IF(H15&lt;260,"C",IF(H15&lt;550,"D","E"))))</f>
        <v>B</v>
      </c>
      <c r="N15" s="116" t="s">
        <v>255</v>
      </c>
      <c r="O15" s="108"/>
      <c r="P15" t="s">
        <v>255</v>
      </c>
      <c r="Q15">
        <v>440</v>
      </c>
      <c r="R15">
        <v>220</v>
      </c>
      <c r="S15">
        <v>120</v>
      </c>
      <c r="T15">
        <v>25</v>
      </c>
      <c r="U15">
        <v>160</v>
      </c>
      <c r="V15">
        <v>35</v>
      </c>
      <c r="W15">
        <v>15</v>
      </c>
      <c r="X15">
        <v>115</v>
      </c>
      <c r="Y15">
        <v>100</v>
      </c>
      <c r="Z15">
        <v>55</v>
      </c>
      <c r="AA15">
        <v>20</v>
      </c>
      <c r="AB15">
        <v>45</v>
      </c>
      <c r="AC15">
        <v>185</v>
      </c>
      <c r="AD15">
        <v>125</v>
      </c>
      <c r="AE15">
        <v>15</v>
      </c>
      <c r="AF15">
        <v>55</v>
      </c>
      <c r="AG15">
        <v>140</v>
      </c>
      <c r="AH15">
        <v>15</v>
      </c>
      <c r="AI15">
        <v>15</v>
      </c>
      <c r="AJ15">
        <v>290</v>
      </c>
      <c r="AK15">
        <v>165</v>
      </c>
      <c r="AL15">
        <v>60</v>
      </c>
      <c r="AM15">
        <v>75</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117.71566666666666</v>
      </c>
      <c r="F17" s="44">
        <f>CONFIDENCE(0.05,G17,D17)</f>
        <v>3.0329318765412987</v>
      </c>
      <c r="G17" s="44">
        <f>STDEV(Q17:EC17)</f>
        <v>3.790444916716899</v>
      </c>
      <c r="H17" s="44">
        <f>QUARTILE(Q17:EC17,2)</f>
        <v>118</v>
      </c>
      <c r="I17" s="44">
        <f>MIN(Q17:EC17)</f>
        <v>112</v>
      </c>
      <c r="J17" s="44">
        <f>MAX(Q17:EC17)</f>
        <v>123</v>
      </c>
      <c r="K17" s="44">
        <f>PERCENTILE(Q17:EC17,0.95)</f>
        <v>122.25</v>
      </c>
      <c r="L17" s="102" t="str">
        <f>IF(H17&gt;120,"A",IF(H17&gt;100,"B",IF(H17&gt;80,"C",IF(H17&gt;60,"D","E"))))</f>
        <v>B</v>
      </c>
      <c r="N17" s="116" t="s">
        <v>17</v>
      </c>
      <c r="O17" s="108"/>
      <c r="P17" t="s">
        <v>17</v>
      </c>
      <c r="Q17">
        <v>120</v>
      </c>
      <c r="U17">
        <v>118</v>
      </c>
      <c r="X17">
        <v>112</v>
      </c>
      <c r="AB17">
        <v>123</v>
      </c>
      <c r="AF17">
        <v>118</v>
      </c>
      <c r="AJ17">
        <v>115.294</v>
      </c>
    </row>
    <row r="18" spans="2:36" ht="12.75">
      <c r="B18" s="74"/>
      <c r="C18" s="96" t="s">
        <v>18</v>
      </c>
      <c r="D18" s="81">
        <f>COUNT(Q18:EC18)</f>
        <v>6</v>
      </c>
      <c r="E18" s="44">
        <f>AVERAGE(Q18:EC18)</f>
        <v>6.606833333333333</v>
      </c>
      <c r="F18" s="44">
        <f>CONFIDENCE(0.05,G18,D18)</f>
        <v>0.35389171674321884</v>
      </c>
      <c r="G18" s="44">
        <f>STDEV(Q18:EC18)</f>
        <v>0.4422806424281666</v>
      </c>
      <c r="H18" s="44">
        <f>QUARTILE(Q18:EC18,2)</f>
        <v>6.6555</v>
      </c>
      <c r="I18" s="44">
        <f>MIN(Q18:EC18)</f>
        <v>5.95</v>
      </c>
      <c r="J18" s="44">
        <f>MAX(Q18:EC18)</f>
        <v>7.25</v>
      </c>
      <c r="K18" s="44">
        <f>PERCENTILE(Q18:EC18,0.95)</f>
        <v>7.1375</v>
      </c>
      <c r="L18" s="105" t="str">
        <f>IF(H18&gt;6,"A",IF(H18&gt;5,"B",IF(H18&gt;4,"C",IF(H18&gt;3,"D","E"))))</f>
        <v>A</v>
      </c>
      <c r="N18" s="116" t="s">
        <v>18</v>
      </c>
      <c r="O18" s="108"/>
      <c r="P18" t="s">
        <v>18</v>
      </c>
      <c r="Q18">
        <v>7.25</v>
      </c>
      <c r="U18">
        <v>6.8</v>
      </c>
      <c r="X18">
        <v>6.33</v>
      </c>
      <c r="AB18">
        <v>5.95</v>
      </c>
      <c r="AF18">
        <v>6.74</v>
      </c>
      <c r="AJ18">
        <v>6.571</v>
      </c>
    </row>
    <row r="19" spans="2:36" ht="12.75">
      <c r="B19" s="71" t="s">
        <v>106</v>
      </c>
      <c r="C19" s="7" t="s">
        <v>19</v>
      </c>
      <c r="D19" s="86">
        <f>COUNT(Q19:EC19)</f>
        <v>6</v>
      </c>
      <c r="E19" s="113">
        <f>AVERAGE(Q19:EC19)</f>
        <v>8.336</v>
      </c>
      <c r="F19" s="113">
        <f>CONFIDENCE(0.05,G19,D19)</f>
        <v>1.1733447344135584</v>
      </c>
      <c r="G19" s="113">
        <f>STDEV(Q19:EC19)</f>
        <v>1.4664024004344798</v>
      </c>
      <c r="H19" s="113">
        <f>QUARTILE(Q19:EC19,2)</f>
        <v>8.64</v>
      </c>
      <c r="I19" s="113">
        <f>MIN(Q19:EC19)</f>
        <v>6.5</v>
      </c>
      <c r="J19" s="113">
        <f>MAX(Q19:EC19)</f>
        <v>10</v>
      </c>
      <c r="K19" s="113">
        <f>PERCENTILE(Q19:EC19,0.95)</f>
        <v>9.879</v>
      </c>
      <c r="L19" s="102" t="str">
        <f>IF(H19&gt;8,"A",IF(H19&gt;6,"B",IF(H19&gt;4,"C",IF(H19&gt;2,"D","E"))))</f>
        <v>A</v>
      </c>
      <c r="N19" s="116" t="s">
        <v>96</v>
      </c>
      <c r="O19" s="108"/>
      <c r="P19" t="s">
        <v>96</v>
      </c>
      <c r="R19">
        <v>8.18</v>
      </c>
      <c r="S19">
        <v>6.72</v>
      </c>
      <c r="X19">
        <v>6.5</v>
      </c>
      <c r="AB19">
        <v>9.1</v>
      </c>
      <c r="AF19">
        <v>10</v>
      </c>
      <c r="AJ19">
        <v>9.516</v>
      </c>
    </row>
    <row r="20" spans="2:36" ht="13.5" thickBot="1">
      <c r="B20" s="72"/>
      <c r="C20" s="97" t="s">
        <v>122</v>
      </c>
      <c r="D20" s="87">
        <f>COUNT(Q20:EC20)</f>
        <v>4</v>
      </c>
      <c r="E20" s="114">
        <f>AVERAGE(Q20:EC20)</f>
        <v>0.25</v>
      </c>
      <c r="F20" s="114">
        <f>CONFIDENCE(0.05,G20,D20)</f>
        <v>0.4899909961350135</v>
      </c>
      <c r="G20" s="114">
        <f>STDEV(Q20:EC20)</f>
        <v>0.5</v>
      </c>
      <c r="H20" s="114">
        <f>QUARTILE(Q20:EC20,2)</f>
        <v>0</v>
      </c>
      <c r="I20" s="114">
        <f>MIN(Q20:EC20)</f>
        <v>0</v>
      </c>
      <c r="J20" s="114">
        <f>MAX(Q20:EC20)</f>
        <v>1</v>
      </c>
      <c r="K20" s="114">
        <f>PERCENTILE(Q20:EC20,0.95)</f>
        <v>0.8499999999999996</v>
      </c>
      <c r="L20" s="105"/>
      <c r="N20" s="116" t="s">
        <v>97</v>
      </c>
      <c r="O20" s="108"/>
      <c r="P20" t="s">
        <v>97</v>
      </c>
      <c r="X20">
        <v>1</v>
      </c>
      <c r="AB20">
        <v>0</v>
      </c>
      <c r="AF20">
        <v>0</v>
      </c>
      <c r="AJ20">
        <v>0</v>
      </c>
    </row>
    <row r="21" spans="2:15" ht="12.75">
      <c r="B21" s="80"/>
      <c r="C21" s="89"/>
      <c r="D21" s="89"/>
      <c r="E21" s="89"/>
      <c r="F21" s="89"/>
      <c r="G21" s="89"/>
      <c r="H21" s="89"/>
      <c r="I21" s="89"/>
      <c r="J21" s="89"/>
      <c r="K21" s="89"/>
      <c r="L21" s="100"/>
      <c r="O21" s="108"/>
    </row>
    <row r="22" spans="2:17" ht="12.75">
      <c r="B22" s="210" t="s">
        <v>119</v>
      </c>
      <c r="C22" s="211"/>
      <c r="D22" s="211"/>
      <c r="E22" s="211"/>
      <c r="F22" s="211"/>
      <c r="G22" s="76" t="str">
        <f>'Combined Score Calcs'!S10</f>
        <v>C</v>
      </c>
      <c r="H22" s="39"/>
      <c r="I22" s="39"/>
      <c r="J22" s="39"/>
      <c r="K22" s="99"/>
      <c r="L22" s="90"/>
      <c r="N22" s="111"/>
      <c r="O22" s="108"/>
      <c r="Q22" s="20"/>
    </row>
    <row r="23" spans="2:17" ht="13.5" thickBot="1">
      <c r="B23" s="83"/>
      <c r="C23" s="84"/>
      <c r="D23" s="84"/>
      <c r="E23" s="84"/>
      <c r="F23" s="84"/>
      <c r="G23" s="84"/>
      <c r="H23" s="84"/>
      <c r="I23" s="84"/>
      <c r="J23" s="84"/>
      <c r="K23" s="84"/>
      <c r="L23" s="91"/>
      <c r="N23" s="111"/>
      <c r="O23" s="108"/>
      <c r="Q23" s="20"/>
    </row>
    <row r="24" spans="12:17" ht="12.75">
      <c r="L24" s="60"/>
      <c r="N24" s="111"/>
      <c r="O24" s="108"/>
      <c r="Q24" s="20"/>
    </row>
    <row r="25" spans="12:15" ht="12.75">
      <c r="L25" s="60"/>
      <c r="O25" s="108"/>
    </row>
    <row r="26" spans="12:15" ht="12.75">
      <c r="L26" s="60"/>
      <c r="O26" s="108"/>
    </row>
    <row r="27" spans="12:15" ht="12.75">
      <c r="L27" s="60"/>
      <c r="O27" s="108"/>
    </row>
    <row r="28" spans="7:15" ht="12.75">
      <c r="G28" t="s">
        <v>140</v>
      </c>
      <c r="H28" t="s">
        <v>141</v>
      </c>
      <c r="L28" s="60"/>
      <c r="O28" s="108"/>
    </row>
    <row r="29" spans="5:15" ht="12.75">
      <c r="E29" s="158"/>
      <c r="F29" s="153"/>
      <c r="G29" s="118" t="s">
        <v>21</v>
      </c>
      <c r="H29" s="136">
        <v>1.5</v>
      </c>
      <c r="I29" s="137">
        <v>10</v>
      </c>
      <c r="J29" s="119"/>
      <c r="K29" s="119"/>
      <c r="L29" s="60"/>
      <c r="O29" s="108"/>
    </row>
    <row r="30" spans="5:12" ht="12.75">
      <c r="E30" s="158"/>
      <c r="F30" s="153"/>
      <c r="G30" s="122" t="s">
        <v>22</v>
      </c>
      <c r="H30" s="137">
        <v>65</v>
      </c>
      <c r="I30" s="137">
        <v>270</v>
      </c>
      <c r="J30" s="119"/>
      <c r="K30" s="119"/>
      <c r="L30" s="60"/>
    </row>
    <row r="31" spans="5:12" ht="12.75">
      <c r="E31" s="158"/>
      <c r="F31" s="153"/>
      <c r="G31" s="122" t="s">
        <v>23</v>
      </c>
      <c r="H31" s="137">
        <v>50</v>
      </c>
      <c r="I31" s="137">
        <v>220</v>
      </c>
      <c r="J31" s="119"/>
      <c r="K31" s="119"/>
      <c r="L31" s="60"/>
    </row>
    <row r="32" spans="5:12" ht="12.75">
      <c r="E32" s="158"/>
      <c r="F32" s="153"/>
      <c r="G32" s="122" t="s">
        <v>24</v>
      </c>
      <c r="H32" s="137">
        <v>200</v>
      </c>
      <c r="I32" s="137">
        <v>210</v>
      </c>
      <c r="J32" s="119"/>
      <c r="K32" s="119"/>
      <c r="L32" s="60"/>
    </row>
    <row r="33" spans="7:12" ht="12.75">
      <c r="G33" s="122"/>
      <c r="H33" t="s">
        <v>137</v>
      </c>
      <c r="I33" t="s">
        <v>138</v>
      </c>
      <c r="L33" s="60"/>
    </row>
    <row r="34" ht="12.75">
      <c r="L34" s="60"/>
    </row>
    <row r="35" ht="12.75">
      <c r="L35" s="60"/>
    </row>
    <row r="36" spans="5:12" ht="12.75">
      <c r="E36" s="158"/>
      <c r="F36" s="153"/>
      <c r="G36" s="119"/>
      <c r="H36" s="119"/>
      <c r="I36" s="119"/>
      <c r="J36" s="119"/>
      <c r="K36" s="119"/>
      <c r="L36" s="60"/>
    </row>
    <row r="37" spans="5:12" ht="12.75">
      <c r="E37" s="158"/>
      <c r="F37" s="153"/>
      <c r="G37" s="119"/>
      <c r="H37" s="119"/>
      <c r="I37" s="119"/>
      <c r="J37" s="119"/>
      <c r="K37" s="119"/>
      <c r="L37" s="60"/>
    </row>
    <row r="38" spans="5:12" ht="12.75">
      <c r="E38" s="158"/>
      <c r="F38" s="153"/>
      <c r="G38" s="119"/>
      <c r="H38" s="119"/>
      <c r="I38" s="119"/>
      <c r="J38" s="119"/>
      <c r="K38" s="119"/>
      <c r="L38" s="60"/>
    </row>
    <row r="39" spans="5:12" ht="12.75">
      <c r="E39" s="158"/>
      <c r="F39" s="153"/>
      <c r="G39" s="119"/>
      <c r="H39" s="119"/>
      <c r="I39" s="119"/>
      <c r="J39" s="119"/>
      <c r="K39" s="119"/>
      <c r="L39" s="60"/>
    </row>
    <row r="40" spans="5:12" ht="12.75">
      <c r="E40" s="158"/>
      <c r="F40" s="153"/>
      <c r="G40" s="119"/>
      <c r="H40" s="119"/>
      <c r="I40" s="119"/>
      <c r="J40" s="119"/>
      <c r="K40" s="119"/>
      <c r="L40" s="60"/>
    </row>
    <row r="41" spans="5:12" ht="12.75">
      <c r="E41" s="158"/>
      <c r="F41" s="153"/>
      <c r="G41" s="119"/>
      <c r="H41" s="119"/>
      <c r="I41" s="119"/>
      <c r="J41" s="119"/>
      <c r="K41" s="119"/>
      <c r="L41" s="60"/>
    </row>
    <row r="42" ht="12.75">
      <c r="L42" s="60"/>
    </row>
  </sheetData>
  <mergeCells count="1">
    <mergeCell ref="B22:F22"/>
  </mergeCells>
  <printOptions/>
  <pageMargins left="0.75" right="0.75" top="1" bottom="1" header="0.5" footer="0.5"/>
  <pageSetup horizontalDpi="600" verticalDpi="600" orientation="portrait" paperSize="133" r:id="rId1"/>
</worksheet>
</file>

<file path=xl/worksheets/sheet15.xml><?xml version="1.0" encoding="utf-8"?>
<worksheet xmlns="http://schemas.openxmlformats.org/spreadsheetml/2006/main" xmlns:r="http://schemas.openxmlformats.org/officeDocument/2006/relationships">
  <dimension ref="B1:AQ98"/>
  <sheetViews>
    <sheetView workbookViewId="0" topLeftCell="A1">
      <selection activeCell="B3" sqref="B3:L46"/>
    </sheetView>
  </sheetViews>
  <sheetFormatPr defaultColWidth="9.140625" defaultRowHeight="12.75"/>
  <cols>
    <col min="3" max="3" width="28.7109375" style="0" bestFit="1" customWidth="1"/>
    <col min="14" max="14" width="34.140625" style="0" customWidth="1"/>
    <col min="16" max="16" width="33.57421875" style="0" customWidth="1"/>
  </cols>
  <sheetData>
    <row r="1" spans="2:15" ht="15.75">
      <c r="B1" s="107" t="s">
        <v>151</v>
      </c>
      <c r="O1" s="109" t="s">
        <v>125</v>
      </c>
    </row>
    <row r="2" spans="12:39" ht="13.5" thickBot="1">
      <c r="L2" s="60"/>
      <c r="N2" s="116" t="s">
        <v>84</v>
      </c>
      <c r="O2" s="110"/>
      <c r="P2" t="s">
        <v>84</v>
      </c>
      <c r="Q2" t="s">
        <v>56</v>
      </c>
      <c r="R2" t="s">
        <v>56</v>
      </c>
      <c r="S2" t="s">
        <v>56</v>
      </c>
      <c r="T2" t="s">
        <v>56</v>
      </c>
      <c r="U2" t="s">
        <v>56</v>
      </c>
      <c r="V2" t="s">
        <v>56</v>
      </c>
      <c r="W2" t="s">
        <v>56</v>
      </c>
      <c r="X2" t="s">
        <v>56</v>
      </c>
      <c r="Y2" t="s">
        <v>56</v>
      </c>
      <c r="Z2" t="s">
        <v>56</v>
      </c>
      <c r="AA2" t="s">
        <v>56</v>
      </c>
      <c r="AB2" t="s">
        <v>56</v>
      </c>
      <c r="AC2" t="s">
        <v>56</v>
      </c>
      <c r="AD2" t="s">
        <v>56</v>
      </c>
      <c r="AE2" t="s">
        <v>56</v>
      </c>
      <c r="AF2" t="s">
        <v>56</v>
      </c>
      <c r="AG2" t="s">
        <v>56</v>
      </c>
      <c r="AH2" t="s">
        <v>56</v>
      </c>
      <c r="AI2" t="s">
        <v>56</v>
      </c>
      <c r="AJ2" t="s">
        <v>56</v>
      </c>
      <c r="AK2" t="s">
        <v>56</v>
      </c>
      <c r="AL2" t="s">
        <v>56</v>
      </c>
      <c r="AM2" t="s">
        <v>56</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36837.350694444445</v>
      </c>
      <c r="R3" s="64">
        <v>36917.645833333336</v>
      </c>
      <c r="S3" s="64">
        <v>37011.697916666664</v>
      </c>
      <c r="T3" s="64">
        <v>37112.74652777778</v>
      </c>
      <c r="U3" s="64">
        <v>37221.70138888889</v>
      </c>
      <c r="V3" s="64">
        <v>37383.64236111111</v>
      </c>
      <c r="W3" s="64">
        <v>37474.600694444445</v>
      </c>
      <c r="X3" s="64">
        <v>37585.65347222222</v>
      </c>
      <c r="Y3" s="64">
        <v>37648.631944444445</v>
      </c>
      <c r="Z3" s="64">
        <v>37746.67013888889</v>
      </c>
      <c r="AA3" s="64">
        <v>37837.618055555555</v>
      </c>
      <c r="AB3" s="64">
        <v>37949.364583333336</v>
      </c>
      <c r="AC3" s="64">
        <v>38027.37152777778</v>
      </c>
      <c r="AD3" s="64">
        <v>38111.63888888889</v>
      </c>
      <c r="AE3" s="64">
        <v>38202.55</v>
      </c>
      <c r="AF3" s="64">
        <v>38336.729166666664</v>
      </c>
      <c r="AG3" s="64">
        <v>38393.53125</v>
      </c>
      <c r="AH3" s="64">
        <v>38477.59375</v>
      </c>
      <c r="AI3" s="64">
        <v>38593.51388888889</v>
      </c>
      <c r="AJ3" s="64">
        <v>38679.5</v>
      </c>
      <c r="AK3" s="64">
        <v>38776.614583333336</v>
      </c>
      <c r="AL3" s="64">
        <v>38869.46875</v>
      </c>
      <c r="AM3" s="64">
        <v>38960.572222222225</v>
      </c>
      <c r="AO3" s="64"/>
      <c r="AP3" s="64"/>
      <c r="AQ3" s="64"/>
    </row>
    <row r="4" spans="2:39" ht="12.75">
      <c r="B4" s="68" t="s">
        <v>103</v>
      </c>
      <c r="C4" s="93" t="s">
        <v>4</v>
      </c>
      <c r="D4" s="81">
        <f>COUNT(Q4:EC4)</f>
        <v>20</v>
      </c>
      <c r="E4" s="82">
        <f>AVERAGE(Q4:EC4)</f>
        <v>0.14175</v>
      </c>
      <c r="F4" s="82">
        <f aca="true" t="shared" si="0" ref="F4:F15">CONFIDENCE(0.05,G4,D4)</f>
        <v>0.04156370942059006</v>
      </c>
      <c r="G4" s="82">
        <f>STDEV(Q4:EC4)</f>
        <v>0.09483774232034971</v>
      </c>
      <c r="H4" s="82">
        <f>QUARTILE(Q4:EC4,2)</f>
        <v>0.1</v>
      </c>
      <c r="I4" s="82">
        <f>MIN(Q4:EC4)</f>
        <v>0.036</v>
      </c>
      <c r="J4" s="82">
        <f>MAX(Q4:EC4)</f>
        <v>0.35</v>
      </c>
      <c r="K4" s="82">
        <f>PERCENTILE(Q4:EC4,0.95)</f>
        <v>0.331</v>
      </c>
      <c r="L4" s="102" t="str">
        <f>IF((H4+H5)&lt;0.08,"A",IF((H4+H5)&lt;0.12,"B",IF((H4+H5)&lt;0.295,"C",IF((H4+H5)&lt;0.444,"D","E"))))</f>
        <v>B</v>
      </c>
      <c r="N4" s="116" t="s">
        <v>86</v>
      </c>
      <c r="O4" s="108"/>
      <c r="P4" t="s">
        <v>86</v>
      </c>
      <c r="R4">
        <v>0.16</v>
      </c>
      <c r="S4">
        <v>0.1</v>
      </c>
      <c r="V4">
        <v>0.1</v>
      </c>
      <c r="W4">
        <v>0.3</v>
      </c>
      <c r="X4">
        <v>0.33</v>
      </c>
      <c r="Y4">
        <v>0.096</v>
      </c>
      <c r="Z4">
        <v>0.18</v>
      </c>
      <c r="AA4">
        <v>0.095</v>
      </c>
      <c r="AB4">
        <v>0.074</v>
      </c>
      <c r="AC4">
        <v>0.11</v>
      </c>
      <c r="AD4">
        <v>0.23</v>
      </c>
      <c r="AE4">
        <v>0.35</v>
      </c>
      <c r="AF4">
        <v>0.096</v>
      </c>
      <c r="AG4">
        <v>0.053</v>
      </c>
      <c r="AH4">
        <v>0.037</v>
      </c>
      <c r="AI4">
        <v>0.1</v>
      </c>
      <c r="AJ4">
        <v>0.036</v>
      </c>
      <c r="AK4">
        <v>0.088</v>
      </c>
      <c r="AL4">
        <v>0.21</v>
      </c>
      <c r="AM4">
        <v>0.09</v>
      </c>
    </row>
    <row r="5" spans="2:39" ht="12.75">
      <c r="B5" s="69"/>
      <c r="C5" s="5" t="s">
        <v>5</v>
      </c>
      <c r="D5" s="73">
        <f>COUNT(Q5:EC5)</f>
        <v>18</v>
      </c>
      <c r="E5" s="112">
        <f>AVERAGE(Q5:EC5)</f>
        <v>0.006666666666666668</v>
      </c>
      <c r="F5" s="112">
        <f t="shared" si="0"/>
        <v>0.0015280721125674086</v>
      </c>
      <c r="G5" s="112">
        <f>STDEV(Q5:EC5)</f>
        <v>0.003307744922237534</v>
      </c>
      <c r="H5" s="112">
        <f>QUARTILE(Q5:EC5,2)</f>
        <v>0.005</v>
      </c>
      <c r="I5" s="112">
        <f>MIN(Q5:EC5)</f>
        <v>0.005</v>
      </c>
      <c r="J5" s="112">
        <f>MAX(Q5:EC5)</f>
        <v>0.016</v>
      </c>
      <c r="K5" s="112">
        <f>PERCENTILE(Q5:EC5,0.95)</f>
        <v>0.014299999999999997</v>
      </c>
      <c r="L5" s="102"/>
      <c r="N5" s="116" t="s">
        <v>87</v>
      </c>
      <c r="O5" s="108"/>
      <c r="P5" t="s">
        <v>87</v>
      </c>
      <c r="V5">
        <v>0.006</v>
      </c>
      <c r="W5">
        <v>0.009</v>
      </c>
      <c r="X5">
        <v>0.016</v>
      </c>
      <c r="Y5">
        <v>0.009</v>
      </c>
      <c r="Z5">
        <v>0.006</v>
      </c>
      <c r="AA5">
        <v>0.005</v>
      </c>
      <c r="AB5">
        <v>0.005</v>
      </c>
      <c r="AC5">
        <v>0.005</v>
      </c>
      <c r="AD5">
        <v>0.005</v>
      </c>
      <c r="AE5">
        <v>0.005</v>
      </c>
      <c r="AF5">
        <v>0.005</v>
      </c>
      <c r="AG5">
        <v>0.014</v>
      </c>
      <c r="AH5">
        <v>0.005</v>
      </c>
      <c r="AI5">
        <v>0.005</v>
      </c>
      <c r="AJ5">
        <v>0.005</v>
      </c>
      <c r="AK5">
        <v>0.005</v>
      </c>
      <c r="AL5">
        <v>0.005</v>
      </c>
      <c r="AM5">
        <v>0.005</v>
      </c>
    </row>
    <row r="6" spans="2:39" ht="12.75">
      <c r="B6" s="70"/>
      <c r="C6" s="94" t="s">
        <v>6</v>
      </c>
      <c r="D6" s="73">
        <f>COUNT(Q6:EC6)</f>
        <v>23</v>
      </c>
      <c r="E6" s="112">
        <f>AVERAGE(Q6:EC6)</f>
        <v>0.005695652173913045</v>
      </c>
      <c r="F6" s="112">
        <f t="shared" si="0"/>
        <v>0.0011587757198041693</v>
      </c>
      <c r="G6" s="112">
        <f>STDEV(Q6:EC6)</f>
        <v>0.0028354057366979397</v>
      </c>
      <c r="H6" s="112">
        <f>QUARTILE(Q6:EC6,2)</f>
        <v>0.005</v>
      </c>
      <c r="I6" s="112">
        <f>MIN(Q6:EC6)</f>
        <v>0.002</v>
      </c>
      <c r="J6" s="112">
        <f>MAX(Q6:EC6)</f>
        <v>0.017</v>
      </c>
      <c r="K6" s="112">
        <f>PERCENTILE(Q6:EC6,0.95)</f>
        <v>0.007899999999999999</v>
      </c>
      <c r="L6" s="102" t="str">
        <f>IF((H6)&lt;0.005,"A",IF((H6)&lt;0.008,"B",IF((H6)&lt;0.026,"C",IF((H6)&lt;0.05,"D","E"))))</f>
        <v>B</v>
      </c>
      <c r="N6" s="116" t="s">
        <v>88</v>
      </c>
      <c r="O6" s="108"/>
      <c r="P6" t="s">
        <v>88</v>
      </c>
      <c r="Q6">
        <v>0.005</v>
      </c>
      <c r="R6">
        <v>0.006</v>
      </c>
      <c r="S6">
        <v>0.005</v>
      </c>
      <c r="T6">
        <v>0.008</v>
      </c>
      <c r="U6">
        <v>0.007</v>
      </c>
      <c r="V6">
        <v>0.005</v>
      </c>
      <c r="W6">
        <v>0.005</v>
      </c>
      <c r="X6">
        <v>0.005</v>
      </c>
      <c r="Y6">
        <v>0.006</v>
      </c>
      <c r="Z6">
        <v>0.005</v>
      </c>
      <c r="AA6">
        <v>0.005</v>
      </c>
      <c r="AB6">
        <v>0.005</v>
      </c>
      <c r="AC6">
        <v>0.006</v>
      </c>
      <c r="AD6">
        <v>0.006</v>
      </c>
      <c r="AE6">
        <v>0.007</v>
      </c>
      <c r="AF6">
        <v>0.006</v>
      </c>
      <c r="AG6">
        <v>0.017</v>
      </c>
      <c r="AH6">
        <v>0.002</v>
      </c>
      <c r="AI6">
        <v>0.002</v>
      </c>
      <c r="AJ6">
        <v>0.005</v>
      </c>
      <c r="AK6">
        <v>0.005</v>
      </c>
      <c r="AL6">
        <v>0.005</v>
      </c>
      <c r="AM6">
        <v>0.003</v>
      </c>
    </row>
    <row r="7" spans="2:39" ht="12.75">
      <c r="B7" s="71" t="s">
        <v>104</v>
      </c>
      <c r="C7" s="6" t="s">
        <v>7</v>
      </c>
      <c r="D7" s="86">
        <f>COUNT(Q7:EC7)</f>
        <v>23</v>
      </c>
      <c r="E7" s="113">
        <f>AVERAGE(Q7:EC7)</f>
        <v>8.033043478260872</v>
      </c>
      <c r="F7" s="113">
        <f t="shared" si="0"/>
        <v>0.226240320514508</v>
      </c>
      <c r="G7" s="113">
        <f>STDEV(Q7:EC7)</f>
        <v>0.5535869380898194</v>
      </c>
      <c r="H7" s="113">
        <f>QUARTILE(Q7:EC7,2)</f>
        <v>8</v>
      </c>
      <c r="I7" s="113">
        <f>MIN(Q7:EC7)</f>
        <v>6.68</v>
      </c>
      <c r="J7" s="113">
        <f>MAX(Q7:EC7)</f>
        <v>9.07</v>
      </c>
      <c r="K7" s="113">
        <f>PERCENTILE(Q7:EC7,0.95)</f>
        <v>8.959</v>
      </c>
      <c r="L7" s="103" t="str">
        <f>IF(AND(7.2&lt;H7,H7&lt;9),"A",IF(AND(7.2&lt;=H7,H7&lt;=9),"B",IF(AND(6.5&lt;=H7,H7&lt;=9),"C",IF(AND(6.5&lt;=H7,H7&lt;=10),"D","E"))))</f>
        <v>A</v>
      </c>
      <c r="N7" s="116" t="s">
        <v>89</v>
      </c>
      <c r="O7" s="108"/>
      <c r="P7" t="s">
        <v>89</v>
      </c>
      <c r="Q7">
        <v>8.22</v>
      </c>
      <c r="R7">
        <v>8.55</v>
      </c>
      <c r="S7">
        <v>8.77</v>
      </c>
      <c r="T7">
        <v>7.95</v>
      </c>
      <c r="U7">
        <v>9.07</v>
      </c>
      <c r="V7">
        <v>8</v>
      </c>
      <c r="W7">
        <v>8.98</v>
      </c>
      <c r="X7">
        <v>8.15</v>
      </c>
      <c r="Y7">
        <v>8.2</v>
      </c>
      <c r="Z7">
        <v>7.98</v>
      </c>
      <c r="AA7">
        <v>8.28</v>
      </c>
      <c r="AB7">
        <v>7.86</v>
      </c>
      <c r="AC7">
        <v>6.68</v>
      </c>
      <c r="AD7">
        <v>7.48</v>
      </c>
      <c r="AE7">
        <v>7.32</v>
      </c>
      <c r="AF7">
        <v>8.24</v>
      </c>
      <c r="AG7">
        <v>7.46</v>
      </c>
      <c r="AH7">
        <v>7.77</v>
      </c>
      <c r="AI7">
        <v>8.03</v>
      </c>
      <c r="AJ7">
        <v>7.63</v>
      </c>
      <c r="AK7">
        <v>7.7</v>
      </c>
      <c r="AL7">
        <v>7.8</v>
      </c>
      <c r="AM7">
        <v>8.64</v>
      </c>
    </row>
    <row r="8" spans="2:39" ht="12.75">
      <c r="B8" s="71"/>
      <c r="C8" s="6" t="s">
        <v>8</v>
      </c>
      <c r="D8" s="81">
        <f>COUNT(Q8:EC8)</f>
        <v>23</v>
      </c>
      <c r="E8" s="44">
        <f>AVERAGE(Q8:EC8)</f>
        <v>14.110000000000001</v>
      </c>
      <c r="F8" s="44">
        <f t="shared" si="0"/>
        <v>1.7648702985470028</v>
      </c>
      <c r="G8" s="44">
        <f>STDEV(Q8:EC8)</f>
        <v>4.318457216098439</v>
      </c>
      <c r="H8" s="44">
        <f>QUARTILE(Q8:EC8,2)</f>
        <v>13.3</v>
      </c>
      <c r="I8" s="44">
        <f>MIN(Q8:EC8)</f>
        <v>7.5</v>
      </c>
      <c r="J8" s="44">
        <f>MAX(Q8:EC8)</f>
        <v>22.4</v>
      </c>
      <c r="K8" s="44">
        <f>PERCENTILE(Q8:EC8,0.95)</f>
        <v>21.863999999999997</v>
      </c>
      <c r="L8" s="102" t="str">
        <f>IF(H8&lt;18,"A",IF(H8&lt;20,"B",IF(H8&lt;22,"C",IF(H8&lt;25,"D","E"))))</f>
        <v>A</v>
      </c>
      <c r="N8" s="116" t="s">
        <v>90</v>
      </c>
      <c r="O8" s="108"/>
      <c r="P8" t="s">
        <v>90</v>
      </c>
      <c r="Q8">
        <v>13.3</v>
      </c>
      <c r="R8">
        <v>22.1</v>
      </c>
      <c r="S8">
        <v>14.7</v>
      </c>
      <c r="T8">
        <v>10.3</v>
      </c>
      <c r="U8">
        <v>15.11</v>
      </c>
      <c r="V8">
        <v>13.1</v>
      </c>
      <c r="W8">
        <v>9.2</v>
      </c>
      <c r="X8">
        <v>15.9</v>
      </c>
      <c r="Y8">
        <v>18</v>
      </c>
      <c r="Z8">
        <v>12</v>
      </c>
      <c r="AA8">
        <v>9.7</v>
      </c>
      <c r="AB8">
        <v>15.3</v>
      </c>
      <c r="AC8">
        <v>16.5</v>
      </c>
      <c r="AD8">
        <v>12.1</v>
      </c>
      <c r="AE8">
        <v>7.5</v>
      </c>
      <c r="AF8">
        <v>18.8</v>
      </c>
      <c r="AG8">
        <v>22.4</v>
      </c>
      <c r="AH8">
        <v>12.9</v>
      </c>
      <c r="AI8">
        <v>9.58</v>
      </c>
      <c r="AJ8">
        <v>17.87</v>
      </c>
      <c r="AK8">
        <v>19.74</v>
      </c>
      <c r="AL8">
        <v>8.43</v>
      </c>
      <c r="AM8">
        <v>10</v>
      </c>
    </row>
    <row r="9" spans="2:39" ht="12.75">
      <c r="B9" s="71"/>
      <c r="C9" s="7" t="s">
        <v>9</v>
      </c>
      <c r="D9" s="81">
        <f>COUNT(Q9:EC9)</f>
        <v>23</v>
      </c>
      <c r="E9" s="44">
        <f>AVERAGE(Q9:EC9)</f>
        <v>110.61739130434782</v>
      </c>
      <c r="F9" s="44">
        <f t="shared" si="0"/>
        <v>4.644576614555951</v>
      </c>
      <c r="G9" s="44">
        <f>STDEV(Q9:EC9)</f>
        <v>11.364804208764934</v>
      </c>
      <c r="H9" s="44">
        <f>QUARTILE(Q9:EC9,2)</f>
        <v>109.3</v>
      </c>
      <c r="I9" s="44">
        <f>MIN(Q9:EC9)</f>
        <v>96.1</v>
      </c>
      <c r="J9" s="44">
        <f>MAX(Q9:EC9)</f>
        <v>136.2</v>
      </c>
      <c r="K9" s="44">
        <f>PERCENTILE(Q9:EC9,0.95)</f>
        <v>129.26</v>
      </c>
      <c r="L9" s="104" t="str">
        <f>IF(AND(99&lt;=H9,H9&lt;=103),"A",IF(AND(98&lt;=H9,H9&lt;=105),"B",IF(H9&gt;90,"C",IF(H9&gt;80,"D","E"))))</f>
        <v>C</v>
      </c>
      <c r="N9" s="116" t="s">
        <v>91</v>
      </c>
      <c r="O9" s="108"/>
      <c r="P9" t="s">
        <v>91</v>
      </c>
      <c r="Q9">
        <v>99.4</v>
      </c>
      <c r="R9">
        <v>115.1</v>
      </c>
      <c r="S9">
        <v>101.3</v>
      </c>
      <c r="T9">
        <v>96.9</v>
      </c>
      <c r="U9">
        <v>105.8</v>
      </c>
      <c r="V9">
        <v>110.5</v>
      </c>
      <c r="W9">
        <v>129.5</v>
      </c>
      <c r="X9">
        <v>109.3</v>
      </c>
      <c r="Y9">
        <v>116.3</v>
      </c>
      <c r="Z9">
        <v>102</v>
      </c>
      <c r="AA9">
        <v>118.4</v>
      </c>
      <c r="AB9">
        <v>100.8</v>
      </c>
      <c r="AC9">
        <v>101.3</v>
      </c>
      <c r="AD9">
        <v>99.7</v>
      </c>
      <c r="AE9">
        <v>103.2</v>
      </c>
      <c r="AF9">
        <v>136.2</v>
      </c>
      <c r="AG9">
        <v>96.1</v>
      </c>
      <c r="AH9">
        <v>119</v>
      </c>
      <c r="AI9">
        <v>118.7</v>
      </c>
      <c r="AJ9">
        <v>117.5</v>
      </c>
      <c r="AK9">
        <v>127.1</v>
      </c>
      <c r="AL9">
        <v>100.2</v>
      </c>
      <c r="AM9">
        <v>119.9</v>
      </c>
    </row>
    <row r="10" spans="2:39" ht="12.75">
      <c r="B10" s="71"/>
      <c r="C10" s="6" t="s">
        <v>10</v>
      </c>
      <c r="D10" s="81">
        <f>COUNT(Q10:EC10)</f>
        <v>23</v>
      </c>
      <c r="E10" s="44">
        <f>AVERAGE(Q10:EC10)</f>
        <v>11.360434782608696</v>
      </c>
      <c r="F10" s="44">
        <f t="shared" si="0"/>
        <v>0.6695751310908008</v>
      </c>
      <c r="G10" s="44">
        <f>STDEV(Q10:EC10)</f>
        <v>1.6383819020353456</v>
      </c>
      <c r="H10" s="44">
        <f>QUARTILE(Q10:EC10,2)</f>
        <v>11</v>
      </c>
      <c r="I10" s="44">
        <f>MIN(Q10:EC10)</f>
        <v>7.12</v>
      </c>
      <c r="J10" s="44">
        <f>MAX(Q10:EC10)</f>
        <v>14.88</v>
      </c>
      <c r="K10" s="44">
        <f>PERCENTILE(Q10:EC10,0.95)</f>
        <v>13.527999999999999</v>
      </c>
      <c r="L10" s="102"/>
      <c r="N10" s="116" t="s">
        <v>92</v>
      </c>
      <c r="O10" s="108"/>
      <c r="P10" t="s">
        <v>92</v>
      </c>
      <c r="Q10">
        <v>10.35</v>
      </c>
      <c r="R10">
        <v>9.72</v>
      </c>
      <c r="S10">
        <v>10.22</v>
      </c>
      <c r="T10">
        <v>10.85</v>
      </c>
      <c r="U10">
        <v>10.64</v>
      </c>
      <c r="V10">
        <v>11.61</v>
      </c>
      <c r="W10">
        <v>14.88</v>
      </c>
      <c r="X10">
        <v>10.81</v>
      </c>
      <c r="Y10">
        <v>11</v>
      </c>
      <c r="Z10">
        <v>11</v>
      </c>
      <c r="AA10">
        <v>13.45</v>
      </c>
      <c r="AB10">
        <v>10.11</v>
      </c>
      <c r="AC10">
        <v>9.9</v>
      </c>
      <c r="AD10">
        <v>10.71</v>
      </c>
      <c r="AE10">
        <v>12.39</v>
      </c>
      <c r="AF10">
        <v>12.69</v>
      </c>
      <c r="AG10">
        <v>7.12</v>
      </c>
      <c r="AH10">
        <v>12.56</v>
      </c>
      <c r="AI10">
        <v>13.53</v>
      </c>
      <c r="AJ10">
        <v>11.15</v>
      </c>
      <c r="AK10">
        <v>11.35</v>
      </c>
      <c r="AL10">
        <v>11.74</v>
      </c>
      <c r="AM10">
        <v>13.51</v>
      </c>
    </row>
    <row r="11" spans="2:39" ht="12.75">
      <c r="B11" s="72"/>
      <c r="C11" s="95" t="s">
        <v>11</v>
      </c>
      <c r="D11" s="87">
        <f>COUNT(Q11:EC11)</f>
        <v>23</v>
      </c>
      <c r="E11" s="115">
        <f>AVERAGE(Q11:EC11)</f>
        <v>2022.8304347826086</v>
      </c>
      <c r="F11" s="115">
        <f t="shared" si="0"/>
        <v>3446.752377335434</v>
      </c>
      <c r="G11" s="115">
        <f>STDEV(Q11:EC11)</f>
        <v>8433.85074147546</v>
      </c>
      <c r="H11" s="115">
        <f>QUARTILE(Q11:EC11,2)</f>
        <v>155</v>
      </c>
      <c r="I11" s="115">
        <f>MIN(Q11:EC11)</f>
        <v>111</v>
      </c>
      <c r="J11" s="115">
        <f>MAX(Q11:EC11)</f>
        <v>40673</v>
      </c>
      <c r="K11" s="115">
        <f>PERCENTILE(Q11:EC11,0.95)</f>
        <v>1678.999999999999</v>
      </c>
      <c r="L11" s="105"/>
      <c r="N11" s="116" t="s">
        <v>93</v>
      </c>
      <c r="O11" s="108"/>
      <c r="P11" t="s">
        <v>93</v>
      </c>
      <c r="Q11">
        <v>166.3</v>
      </c>
      <c r="R11">
        <v>184.8</v>
      </c>
      <c r="S11">
        <v>198.3</v>
      </c>
      <c r="T11">
        <v>116.7</v>
      </c>
      <c r="U11">
        <v>119</v>
      </c>
      <c r="V11">
        <v>161</v>
      </c>
      <c r="W11">
        <v>150</v>
      </c>
      <c r="X11">
        <v>164</v>
      </c>
      <c r="Y11">
        <v>177</v>
      </c>
      <c r="Z11">
        <v>148</v>
      </c>
      <c r="AA11">
        <v>149</v>
      </c>
      <c r="AB11">
        <v>142</v>
      </c>
      <c r="AC11">
        <v>143</v>
      </c>
      <c r="AD11">
        <v>111</v>
      </c>
      <c r="AE11">
        <v>131</v>
      </c>
      <c r="AF11">
        <v>1076</v>
      </c>
      <c r="AG11">
        <v>40673</v>
      </c>
      <c r="AH11">
        <v>155</v>
      </c>
      <c r="AI11">
        <v>135</v>
      </c>
      <c r="AJ11">
        <v>185</v>
      </c>
      <c r="AK11">
        <v>1746</v>
      </c>
      <c r="AL11">
        <v>138</v>
      </c>
      <c r="AM11">
        <v>156</v>
      </c>
    </row>
    <row r="12" spans="2:39" ht="12.75">
      <c r="B12" s="68" t="s">
        <v>105</v>
      </c>
      <c r="C12" s="4" t="s">
        <v>12</v>
      </c>
      <c r="D12" s="81">
        <f>COUNT(Q12:EC12)</f>
        <v>23</v>
      </c>
      <c r="E12" s="82">
        <f>AVERAGE(Q12:EC12)</f>
        <v>1.6908695652173913</v>
      </c>
      <c r="F12" s="82">
        <f t="shared" si="0"/>
        <v>0.6899147976571572</v>
      </c>
      <c r="G12" s="82">
        <f>STDEV(Q12:EC12)</f>
        <v>1.6881509870093705</v>
      </c>
      <c r="H12" s="82">
        <f>QUARTILE(Q12:EC12,2)</f>
        <v>1.14</v>
      </c>
      <c r="I12" s="82">
        <f>MIN(Q12:EC12)</f>
        <v>0.3</v>
      </c>
      <c r="J12" s="82">
        <f>MAX(Q12:EC12)</f>
        <v>7.41</v>
      </c>
      <c r="K12" s="82">
        <f>PERCENTILE(Q12:EC12,0.95)</f>
        <v>5.291999999999998</v>
      </c>
      <c r="L12" s="102" t="str">
        <f>IF(H12&lt;1,"A",IF(H12&lt;2,"B",IF(H12&lt;3,"C",IF(H12&lt;5,"D","E"))))</f>
        <v>B</v>
      </c>
      <c r="N12" s="116" t="s">
        <v>94</v>
      </c>
      <c r="O12" s="108"/>
      <c r="P12" t="s">
        <v>94</v>
      </c>
      <c r="Q12">
        <v>0.91</v>
      </c>
      <c r="R12">
        <v>1.73</v>
      </c>
      <c r="S12">
        <v>4.14</v>
      </c>
      <c r="T12">
        <v>5.42</v>
      </c>
      <c r="U12">
        <v>1.88</v>
      </c>
      <c r="V12">
        <v>1.07</v>
      </c>
      <c r="W12">
        <v>1.36</v>
      </c>
      <c r="X12">
        <v>1.14</v>
      </c>
      <c r="Y12">
        <v>0.8</v>
      </c>
      <c r="Z12">
        <v>0.76</v>
      </c>
      <c r="AA12">
        <v>0.8</v>
      </c>
      <c r="AB12">
        <v>0.67</v>
      </c>
      <c r="AC12">
        <v>0.3</v>
      </c>
      <c r="AD12">
        <v>7.41</v>
      </c>
      <c r="AE12">
        <v>1.48</v>
      </c>
      <c r="AF12">
        <v>0.83</v>
      </c>
      <c r="AG12">
        <v>0.97</v>
      </c>
      <c r="AH12">
        <v>0.88</v>
      </c>
      <c r="AI12">
        <v>1.15</v>
      </c>
      <c r="AJ12">
        <v>1.51</v>
      </c>
      <c r="AK12">
        <v>0.8</v>
      </c>
      <c r="AL12">
        <v>1.43</v>
      </c>
      <c r="AM12">
        <v>1.45</v>
      </c>
    </row>
    <row r="13" spans="2:39" ht="12.75">
      <c r="B13" s="71"/>
      <c r="C13" s="6" t="s">
        <v>13</v>
      </c>
      <c r="D13" s="81">
        <f>COUNT(Q13:EC13)</f>
        <v>21</v>
      </c>
      <c r="E13" s="44">
        <f>AVERAGE(Q13:EC13)</f>
        <v>3.802380952380952</v>
      </c>
      <c r="F13" s="44">
        <f t="shared" si="0"/>
        <v>0.6126884867062635</v>
      </c>
      <c r="G13" s="44">
        <f>STDEV(Q13:EC13)</f>
        <v>1.4325219187220322</v>
      </c>
      <c r="H13" s="44">
        <f>QUARTILE(Q13:EC13,2)</f>
        <v>3.9</v>
      </c>
      <c r="I13" s="44">
        <f>MIN(Q13:EC13)</f>
        <v>1</v>
      </c>
      <c r="J13" s="44">
        <f>MAX(Q13:EC13)</f>
        <v>6.2</v>
      </c>
      <c r="K13" s="44">
        <f>PERCENTILE(Q13:EC13,0.95)</f>
        <v>5.9</v>
      </c>
      <c r="L13" s="102" t="str">
        <f>IF(H13&gt;6,"A",IF(H13&gt;4,"B",IF(H13&gt;2.5,"C",IF(H13&gt;0.6,"D","E"))))</f>
        <v>C</v>
      </c>
      <c r="N13" s="116" t="s">
        <v>13</v>
      </c>
      <c r="O13" s="108"/>
      <c r="P13" t="s">
        <v>13</v>
      </c>
      <c r="Q13">
        <v>4.7</v>
      </c>
      <c r="R13">
        <v>2.4</v>
      </c>
      <c r="S13">
        <v>1</v>
      </c>
      <c r="U13">
        <v>2.85</v>
      </c>
      <c r="V13">
        <v>4.2</v>
      </c>
      <c r="W13">
        <v>3.9</v>
      </c>
      <c r="X13">
        <v>3</v>
      </c>
      <c r="Y13">
        <v>4.1</v>
      </c>
      <c r="Z13">
        <v>5.2</v>
      </c>
      <c r="AA13">
        <v>4.7</v>
      </c>
      <c r="AB13">
        <v>3.8</v>
      </c>
      <c r="AC13">
        <v>6.2</v>
      </c>
      <c r="AD13">
        <v>1.3</v>
      </c>
      <c r="AE13">
        <v>5</v>
      </c>
      <c r="AF13">
        <v>5.9</v>
      </c>
      <c r="AG13">
        <v>3.5</v>
      </c>
      <c r="AH13">
        <v>5.6</v>
      </c>
      <c r="AI13">
        <v>4.2</v>
      </c>
      <c r="AK13">
        <v>2.3</v>
      </c>
      <c r="AL13">
        <v>2.3</v>
      </c>
      <c r="AM13">
        <v>3.7</v>
      </c>
    </row>
    <row r="14" spans="2:39" ht="12.75">
      <c r="B14" s="72"/>
      <c r="C14" s="95" t="s">
        <v>14</v>
      </c>
      <c r="D14" s="87">
        <f>COUNT(Q14:EC14)</f>
        <v>23</v>
      </c>
      <c r="E14" s="115">
        <f>AVERAGE(Q14:EC14)</f>
        <v>1.7521739130434781</v>
      </c>
      <c r="F14" s="115">
        <f t="shared" si="0"/>
        <v>0.8145581014609202</v>
      </c>
      <c r="G14" s="115">
        <f>STDEV(Q14:EC14)</f>
        <v>1.9931404104207446</v>
      </c>
      <c r="H14" s="115">
        <f>QUARTILE(Q14:EC14,2)</f>
        <v>1</v>
      </c>
      <c r="I14" s="115">
        <f>MIN(Q14:EC14)</f>
        <v>0.3</v>
      </c>
      <c r="J14" s="115">
        <f>MAX(Q14:EC14)</f>
        <v>8</v>
      </c>
      <c r="K14" s="115">
        <f>PERCENTILE(Q14:EC14,0.95)</f>
        <v>5.799999999999997</v>
      </c>
      <c r="L14" s="102"/>
      <c r="N14" s="116" t="s">
        <v>95</v>
      </c>
      <c r="O14" s="108"/>
      <c r="P14" t="s">
        <v>95</v>
      </c>
      <c r="Q14">
        <v>1</v>
      </c>
      <c r="R14">
        <v>2</v>
      </c>
      <c r="S14">
        <v>4</v>
      </c>
      <c r="T14">
        <v>3</v>
      </c>
      <c r="U14">
        <v>1</v>
      </c>
      <c r="V14">
        <v>0.3</v>
      </c>
      <c r="W14">
        <v>1</v>
      </c>
      <c r="X14">
        <v>1</v>
      </c>
      <c r="Y14">
        <v>1</v>
      </c>
      <c r="Z14">
        <v>0.4</v>
      </c>
      <c r="AA14">
        <v>0.6</v>
      </c>
      <c r="AB14">
        <v>0.5</v>
      </c>
      <c r="AC14">
        <v>0.4</v>
      </c>
      <c r="AD14">
        <v>4</v>
      </c>
      <c r="AE14">
        <v>0.6</v>
      </c>
      <c r="AF14">
        <v>0.7</v>
      </c>
      <c r="AG14">
        <v>6</v>
      </c>
      <c r="AH14">
        <v>0.8</v>
      </c>
      <c r="AI14">
        <v>0.5</v>
      </c>
      <c r="AJ14">
        <v>2</v>
      </c>
      <c r="AK14">
        <v>1</v>
      </c>
      <c r="AL14">
        <v>0.5</v>
      </c>
      <c r="AM14">
        <v>8</v>
      </c>
    </row>
    <row r="15" spans="2:39" ht="12.75">
      <c r="B15" s="208" t="s">
        <v>267</v>
      </c>
      <c r="C15" s="8" t="s">
        <v>268</v>
      </c>
      <c r="D15" s="81">
        <f>COUNT(Q15:EC15)</f>
        <v>23</v>
      </c>
      <c r="E15" s="40">
        <f>AVERAGE(Q15:EC15)</f>
        <v>263.7391304347826</v>
      </c>
      <c r="F15" s="40">
        <f t="shared" si="0"/>
        <v>152.5675585569181</v>
      </c>
      <c r="G15" s="40">
        <f>STDEV(Q15:EC15)</f>
        <v>373.3172203844515</v>
      </c>
      <c r="H15" s="40">
        <f>QUARTILE(Q15:EC15,2)</f>
        <v>120</v>
      </c>
      <c r="I15" s="40">
        <f>MIN(Q15:EC15)</f>
        <v>5</v>
      </c>
      <c r="J15" s="40">
        <f>MAX(Q15:EC15)</f>
        <v>1600</v>
      </c>
      <c r="K15" s="40">
        <f>PERCENTILE(Q15:EC15,0.95)</f>
        <v>969.9999999999995</v>
      </c>
      <c r="L15" s="106" t="str">
        <f>IF(H15&lt;10,"A",IF(H15&lt;130,"B",IF(H15&lt;260,"C",IF(H15&lt;550,"D","E"))))</f>
        <v>B</v>
      </c>
      <c r="N15" s="116" t="s">
        <v>255</v>
      </c>
      <c r="O15" s="108"/>
      <c r="P15" t="s">
        <v>255</v>
      </c>
      <c r="Q15">
        <v>120</v>
      </c>
      <c r="R15">
        <v>700</v>
      </c>
      <c r="S15">
        <v>320</v>
      </c>
      <c r="T15">
        <v>100</v>
      </c>
      <c r="U15">
        <v>120</v>
      </c>
      <c r="V15">
        <v>100</v>
      </c>
      <c r="W15">
        <v>30</v>
      </c>
      <c r="X15">
        <v>1000</v>
      </c>
      <c r="Y15">
        <v>1600</v>
      </c>
      <c r="Z15">
        <v>120</v>
      </c>
      <c r="AA15">
        <v>5</v>
      </c>
      <c r="AB15">
        <v>170</v>
      </c>
      <c r="AC15">
        <v>255</v>
      </c>
      <c r="AD15">
        <v>465</v>
      </c>
      <c r="AE15">
        <v>30</v>
      </c>
      <c r="AF15">
        <v>90</v>
      </c>
      <c r="AG15">
        <v>235</v>
      </c>
      <c r="AH15">
        <v>100</v>
      </c>
      <c r="AI15">
        <v>38</v>
      </c>
      <c r="AJ15">
        <v>140</v>
      </c>
      <c r="AK15">
        <v>160</v>
      </c>
      <c r="AL15">
        <v>130</v>
      </c>
      <c r="AM15">
        <v>38</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95.25</v>
      </c>
      <c r="F17" s="44">
        <f>CONFIDENCE(0.05,G17,D17)</f>
        <v>8.800762096105387</v>
      </c>
      <c r="G17" s="44">
        <f>STDEV(Q17:EC17)</f>
        <v>10.998863577661103</v>
      </c>
      <c r="H17" s="44">
        <f>QUARTILE(Q17:EC17,2)</f>
        <v>97.5</v>
      </c>
      <c r="I17" s="44">
        <f>MIN(Q17:EC17)</f>
        <v>77.5</v>
      </c>
      <c r="J17" s="44">
        <f>MAX(Q17:EC17)</f>
        <v>108</v>
      </c>
      <c r="K17" s="44">
        <f>PERCENTILE(Q17:EC17,0.95)</f>
        <v>106.75</v>
      </c>
      <c r="L17" s="102" t="str">
        <f>IF(H17&gt;120,"A",IF(H17&gt;100,"B",IF(H17&gt;80,"C",IF(H17&gt;60,"D","E"))))</f>
        <v>C</v>
      </c>
      <c r="N17" s="116" t="s">
        <v>17</v>
      </c>
      <c r="O17" s="108"/>
      <c r="P17" t="s">
        <v>17</v>
      </c>
      <c r="Q17">
        <v>103</v>
      </c>
      <c r="U17">
        <v>99</v>
      </c>
      <c r="X17">
        <v>88</v>
      </c>
      <c r="AB17">
        <v>96</v>
      </c>
      <c r="AF17">
        <v>108</v>
      </c>
      <c r="AJ17">
        <v>77.5</v>
      </c>
    </row>
    <row r="18" spans="2:36" ht="12.75">
      <c r="B18" s="74"/>
      <c r="C18" s="96" t="s">
        <v>18</v>
      </c>
      <c r="D18" s="81">
        <f>COUNT(Q18:EC18)</f>
        <v>6</v>
      </c>
      <c r="E18" s="44">
        <f>AVERAGE(Q18:EC18)</f>
        <v>4.2315</v>
      </c>
      <c r="F18" s="44">
        <f>CONFIDENCE(0.05,G18,D18)</f>
        <v>0.36374233334471384</v>
      </c>
      <c r="G18" s="44">
        <f>STDEV(Q18:EC18)</f>
        <v>0.4545915749329361</v>
      </c>
      <c r="H18" s="44">
        <f>QUARTILE(Q18:EC18,2)</f>
        <v>4.32</v>
      </c>
      <c r="I18" s="44">
        <f>MIN(Q18:EC18)</f>
        <v>3.46</v>
      </c>
      <c r="J18" s="44">
        <f>MAX(Q18:EC18)</f>
        <v>4.81</v>
      </c>
      <c r="K18" s="44">
        <f>PERCENTILE(Q18:EC18,0.95)</f>
        <v>4.717499999999999</v>
      </c>
      <c r="L18" s="105" t="str">
        <f>IF(H18&gt;6,"A",IF(H18&gt;5,"B",IF(H18&gt;4,"C",IF(H18&gt;3,"D","E"))))</f>
        <v>C</v>
      </c>
      <c r="N18" s="116" t="s">
        <v>18</v>
      </c>
      <c r="O18" s="108"/>
      <c r="P18" t="s">
        <v>18</v>
      </c>
      <c r="Q18">
        <v>4.38</v>
      </c>
      <c r="U18">
        <v>3.46</v>
      </c>
      <c r="X18">
        <v>4.44</v>
      </c>
      <c r="AB18">
        <v>4.26</v>
      </c>
      <c r="AF18">
        <v>4.81</v>
      </c>
      <c r="AJ18">
        <v>4.039</v>
      </c>
    </row>
    <row r="19" spans="2:36" ht="12.75">
      <c r="B19" s="71" t="s">
        <v>106</v>
      </c>
      <c r="C19" s="7" t="s">
        <v>19</v>
      </c>
      <c r="D19" s="86">
        <f>COUNT(Q19:EC19)</f>
        <v>6</v>
      </c>
      <c r="E19" s="113">
        <f>AVERAGE(Q19:EC19)</f>
        <v>6.982166666666667</v>
      </c>
      <c r="F19" s="113">
        <f>CONFIDENCE(0.05,G19,D19)</f>
        <v>0.9222556212921167</v>
      </c>
      <c r="G19" s="113">
        <f>STDEV(Q19:EC19)</f>
        <v>1.1526006102144275</v>
      </c>
      <c r="H19" s="113">
        <f>QUARTILE(Q19:EC19,2)</f>
        <v>6.9465</v>
      </c>
      <c r="I19" s="113">
        <f>MIN(Q19:EC19)</f>
        <v>5.4</v>
      </c>
      <c r="J19" s="113">
        <f>MAX(Q19:EC19)</f>
        <v>8.9</v>
      </c>
      <c r="K19" s="113">
        <f>PERCENTILE(Q19:EC19,0.95)</f>
        <v>8.5</v>
      </c>
      <c r="L19" s="102" t="str">
        <f>IF(H19&gt;8,"A",IF(H19&gt;6,"B",IF(H19&gt;4,"C",IF(H19&gt;2,"D","E"))))</f>
        <v>B</v>
      </c>
      <c r="N19" s="116" t="s">
        <v>96</v>
      </c>
      <c r="O19" s="108"/>
      <c r="P19" t="s">
        <v>96</v>
      </c>
      <c r="R19">
        <v>6.85</v>
      </c>
      <c r="S19">
        <v>5.4</v>
      </c>
      <c r="X19">
        <v>6.4</v>
      </c>
      <c r="AB19">
        <v>7.3</v>
      </c>
      <c r="AF19">
        <v>8.9</v>
      </c>
      <c r="AJ19">
        <v>7.043</v>
      </c>
    </row>
    <row r="20" spans="2:36" ht="12.75">
      <c r="B20" s="72"/>
      <c r="C20" s="97" t="s">
        <v>122</v>
      </c>
      <c r="D20" s="87">
        <f>COUNT(Q20:EC20)</f>
        <v>4</v>
      </c>
      <c r="E20" s="114">
        <f>AVERAGE(Q20:EC20)</f>
        <v>2.65</v>
      </c>
      <c r="F20" s="114">
        <f>CONFIDENCE(0.05,G20,D20)</f>
        <v>1.9995795531075533</v>
      </c>
      <c r="G20" s="114">
        <f>STDEV(Q20:EC20)</f>
        <v>2.040424792373719</v>
      </c>
      <c r="H20" s="114">
        <f>QUARTILE(Q20:EC20,2)</f>
        <v>2.4</v>
      </c>
      <c r="I20" s="114">
        <f>MIN(Q20:EC20)</f>
        <v>0.5</v>
      </c>
      <c r="J20" s="114">
        <f>MAX(Q20:EC20)</f>
        <v>5.3</v>
      </c>
      <c r="K20" s="114">
        <f>PERCENTILE(Q20:EC20,0.95)</f>
        <v>4.954999999999999</v>
      </c>
      <c r="L20" s="105"/>
      <c r="N20" s="116" t="s">
        <v>97</v>
      </c>
      <c r="O20" s="108"/>
      <c r="P20" t="s">
        <v>97</v>
      </c>
      <c r="X20">
        <v>1.8</v>
      </c>
      <c r="AB20">
        <v>5.3</v>
      </c>
      <c r="AF20">
        <v>0.5</v>
      </c>
      <c r="AJ20">
        <v>3</v>
      </c>
    </row>
    <row r="21" spans="2:15" ht="12.75">
      <c r="B21" s="71" t="s">
        <v>112</v>
      </c>
      <c r="C21" s="118" t="s">
        <v>21</v>
      </c>
      <c r="D21">
        <v>2</v>
      </c>
      <c r="E21" s="157">
        <v>0.325</v>
      </c>
      <c r="F21" t="s">
        <v>143</v>
      </c>
      <c r="G21" t="s">
        <v>143</v>
      </c>
      <c r="H21" t="s">
        <v>143</v>
      </c>
      <c r="I21">
        <v>0.05</v>
      </c>
      <c r="J21">
        <v>0.6</v>
      </c>
      <c r="K21" s="143"/>
      <c r="L21" s="144" t="str">
        <f>IF(E21&gt;=H52,"E","A - D")</f>
        <v>A - D</v>
      </c>
      <c r="O21" s="108"/>
    </row>
    <row r="22" spans="2:15" ht="12.75">
      <c r="B22" s="73" t="s">
        <v>111</v>
      </c>
      <c r="C22" s="122" t="s">
        <v>22</v>
      </c>
      <c r="D22">
        <v>2</v>
      </c>
      <c r="E22" s="157">
        <v>49</v>
      </c>
      <c r="F22" t="s">
        <v>143</v>
      </c>
      <c r="G22" t="s">
        <v>143</v>
      </c>
      <c r="H22" t="s">
        <v>143</v>
      </c>
      <c r="I22">
        <v>36</v>
      </c>
      <c r="J22">
        <v>62</v>
      </c>
      <c r="K22" s="145"/>
      <c r="L22" s="144" t="str">
        <f>IF(E22&gt;=H53,"E","A - D")</f>
        <v>A - D</v>
      </c>
      <c r="N22" s="111"/>
      <c r="O22" s="108"/>
    </row>
    <row r="23" spans="2:15" ht="12.75">
      <c r="B23" s="73"/>
      <c r="C23" s="122" t="s">
        <v>23</v>
      </c>
      <c r="D23">
        <v>2</v>
      </c>
      <c r="E23" s="157">
        <v>61</v>
      </c>
      <c r="F23" t="s">
        <v>143</v>
      </c>
      <c r="G23" t="s">
        <v>143</v>
      </c>
      <c r="H23" t="s">
        <v>143</v>
      </c>
      <c r="I23">
        <v>40</v>
      </c>
      <c r="J23">
        <v>82</v>
      </c>
      <c r="K23" s="145"/>
      <c r="L23" s="144" t="str">
        <f>IF(E23&gt;=H54,"E","A - D")</f>
        <v>E</v>
      </c>
      <c r="N23" s="111"/>
      <c r="O23" s="108"/>
    </row>
    <row r="24" spans="2:15" ht="12.75">
      <c r="B24" s="73"/>
      <c r="C24" s="122" t="s">
        <v>24</v>
      </c>
      <c r="D24">
        <v>2</v>
      </c>
      <c r="E24" s="157">
        <v>160</v>
      </c>
      <c r="F24" t="s">
        <v>143</v>
      </c>
      <c r="G24" t="s">
        <v>143</v>
      </c>
      <c r="H24" t="s">
        <v>143</v>
      </c>
      <c r="I24">
        <v>140</v>
      </c>
      <c r="J24">
        <v>180</v>
      </c>
      <c r="K24" s="145"/>
      <c r="L24" s="144" t="str">
        <f>IF(E24&gt;=H55,"E","A - D")</f>
        <v>A - D</v>
      </c>
      <c r="N24" s="111"/>
      <c r="O24" s="108"/>
    </row>
    <row r="25" spans="2:15" ht="12.75">
      <c r="B25" s="71"/>
      <c r="C25" s="122"/>
      <c r="K25" s="145"/>
      <c r="L25" s="144"/>
      <c r="O25" s="108"/>
    </row>
    <row r="26" spans="2:15" ht="12.75">
      <c r="B26" s="71"/>
      <c r="C26" s="122" t="s">
        <v>28</v>
      </c>
      <c r="D26">
        <v>2</v>
      </c>
      <c r="E26" s="23">
        <v>0.520904638753883</v>
      </c>
      <c r="F26" s="23" t="s">
        <v>143</v>
      </c>
      <c r="G26" s="23" t="s">
        <v>143</v>
      </c>
      <c r="H26" s="23" t="s">
        <v>143</v>
      </c>
      <c r="I26" s="23">
        <v>0.37</v>
      </c>
      <c r="J26" s="23">
        <v>0.6718092775077659</v>
      </c>
      <c r="K26" s="145"/>
      <c r="L26" s="144" t="str">
        <f aca="true" t="shared" si="1" ref="L26:L41">IF(E26&gt;=H57,"E","A - D")</f>
        <v>E</v>
      </c>
      <c r="O26" s="108"/>
    </row>
    <row r="27" spans="2:15" ht="12.75">
      <c r="B27" s="73"/>
      <c r="C27" s="122" t="s">
        <v>29</v>
      </c>
      <c r="D27">
        <v>2</v>
      </c>
      <c r="E27" s="23">
        <v>5.137059571052749</v>
      </c>
      <c r="F27" s="23" t="s">
        <v>143</v>
      </c>
      <c r="G27" s="23" t="s">
        <v>143</v>
      </c>
      <c r="H27" s="23" t="s">
        <v>143</v>
      </c>
      <c r="I27" s="23">
        <v>4.21</v>
      </c>
      <c r="J27" s="23">
        <v>6.064119142105498</v>
      </c>
      <c r="K27" s="143"/>
      <c r="L27" s="144" t="str">
        <f t="shared" si="1"/>
        <v>E</v>
      </c>
      <c r="O27" s="108"/>
    </row>
    <row r="28" spans="2:15" ht="12.75">
      <c r="B28" s="73"/>
      <c r="C28" s="122" t="s">
        <v>30</v>
      </c>
      <c r="D28">
        <v>2</v>
      </c>
      <c r="E28" s="23">
        <v>1.310563086161026</v>
      </c>
      <c r="F28" s="23" t="s">
        <v>143</v>
      </c>
      <c r="G28" s="23" t="s">
        <v>143</v>
      </c>
      <c r="H28" s="23" t="s">
        <v>143</v>
      </c>
      <c r="I28" s="23">
        <v>0.79</v>
      </c>
      <c r="J28" s="23">
        <v>1.8311261723220524</v>
      </c>
      <c r="K28" s="143"/>
      <c r="L28" s="144" t="str">
        <f t="shared" si="1"/>
        <v>E</v>
      </c>
      <c r="O28" s="108"/>
    </row>
    <row r="29" spans="2:15" ht="12.75">
      <c r="B29" s="127"/>
      <c r="C29" s="128" t="s">
        <v>31</v>
      </c>
      <c r="E29" s="23">
        <v>6.968527295967658</v>
      </c>
      <c r="F29" s="23"/>
      <c r="G29" s="23"/>
      <c r="H29" s="23"/>
      <c r="I29" s="23"/>
      <c r="J29" s="23"/>
      <c r="K29" s="147"/>
      <c r="L29" s="144" t="str">
        <f t="shared" si="1"/>
        <v>E</v>
      </c>
      <c r="O29" s="108"/>
    </row>
    <row r="30" spans="2:15" ht="12.75">
      <c r="B30" s="73"/>
      <c r="C30" s="122" t="s">
        <v>32</v>
      </c>
      <c r="D30">
        <v>2</v>
      </c>
      <c r="E30" s="23">
        <v>10.913709962693776</v>
      </c>
      <c r="F30" s="23" t="s">
        <v>143</v>
      </c>
      <c r="G30" s="23" t="s">
        <v>143</v>
      </c>
      <c r="H30" s="23" t="s">
        <v>143</v>
      </c>
      <c r="I30" s="23">
        <v>7.44</v>
      </c>
      <c r="J30" s="23">
        <v>14.387419925387555</v>
      </c>
      <c r="K30" s="143"/>
      <c r="L30" s="144" t="str">
        <f t="shared" si="1"/>
        <v>E</v>
      </c>
      <c r="O30" s="108"/>
    </row>
    <row r="31" spans="2:15" ht="12.75">
      <c r="B31" s="81"/>
      <c r="C31" s="122" t="s">
        <v>33</v>
      </c>
      <c r="D31">
        <v>2</v>
      </c>
      <c r="E31" s="23">
        <v>11.010353517337736</v>
      </c>
      <c r="F31" s="23" t="s">
        <v>143</v>
      </c>
      <c r="G31" s="23" t="s">
        <v>143</v>
      </c>
      <c r="H31" s="23" t="s">
        <v>143</v>
      </c>
      <c r="I31" s="23">
        <v>7.99</v>
      </c>
      <c r="J31" s="23">
        <v>14.030707034675467</v>
      </c>
      <c r="K31" s="143"/>
      <c r="L31" s="144" t="str">
        <f t="shared" si="1"/>
        <v>E</v>
      </c>
      <c r="O31" s="108"/>
    </row>
    <row r="32" spans="2:15" ht="12.75">
      <c r="B32" s="81"/>
      <c r="C32" s="122" t="s">
        <v>34</v>
      </c>
      <c r="D32">
        <v>2</v>
      </c>
      <c r="E32" s="23">
        <v>5.278224610216852</v>
      </c>
      <c r="F32" s="23" t="s">
        <v>143</v>
      </c>
      <c r="G32" s="23" t="s">
        <v>143</v>
      </c>
      <c r="H32" s="23" t="s">
        <v>143</v>
      </c>
      <c r="I32" s="23">
        <v>3.66</v>
      </c>
      <c r="J32" s="23">
        <v>6.896449220433704</v>
      </c>
      <c r="K32" s="143"/>
      <c r="L32" s="144" t="str">
        <f t="shared" si="1"/>
        <v>E</v>
      </c>
      <c r="O32" s="108"/>
    </row>
    <row r="33" spans="2:15" ht="12.75">
      <c r="B33" s="81"/>
      <c r="C33" s="122" t="s">
        <v>35</v>
      </c>
      <c r="D33">
        <v>2</v>
      </c>
      <c r="E33" s="23">
        <v>4.49815527414872</v>
      </c>
      <c r="F33" s="23" t="s">
        <v>143</v>
      </c>
      <c r="G33" s="23" t="s">
        <v>143</v>
      </c>
      <c r="H33" s="23" t="s">
        <v>143</v>
      </c>
      <c r="I33" s="23">
        <v>3.17</v>
      </c>
      <c r="J33" s="23">
        <v>5.82631054829744</v>
      </c>
      <c r="K33" s="150"/>
      <c r="L33" s="144" t="str">
        <f t="shared" si="1"/>
        <v>E</v>
      </c>
      <c r="O33" s="108"/>
    </row>
    <row r="34" spans="2:15" ht="12.75">
      <c r="B34" s="81"/>
      <c r="C34" s="122" t="s">
        <v>36</v>
      </c>
      <c r="D34">
        <v>2</v>
      </c>
      <c r="E34" s="23">
        <v>6.773637208127109</v>
      </c>
      <c r="F34" s="23" t="s">
        <v>143</v>
      </c>
      <c r="G34" s="23" t="s">
        <v>143</v>
      </c>
      <c r="H34" s="23" t="s">
        <v>143</v>
      </c>
      <c r="I34" s="23">
        <v>4.57</v>
      </c>
      <c r="J34" s="23">
        <v>8.977274416254218</v>
      </c>
      <c r="K34" s="151"/>
      <c r="L34" s="144" t="str">
        <f t="shared" si="1"/>
        <v>E</v>
      </c>
      <c r="O34" s="108"/>
    </row>
    <row r="35" spans="2:15" ht="12.75">
      <c r="B35" s="81"/>
      <c r="C35" s="122" t="s">
        <v>37</v>
      </c>
      <c r="D35">
        <v>2</v>
      </c>
      <c r="E35" s="23">
        <v>2.4221119632585726</v>
      </c>
      <c r="F35" s="23" t="s">
        <v>143</v>
      </c>
      <c r="G35" s="23" t="s">
        <v>143</v>
      </c>
      <c r="H35" s="23" t="s">
        <v>143</v>
      </c>
      <c r="I35" s="23">
        <v>1.83</v>
      </c>
      <c r="J35" s="23">
        <v>3.014223926517145</v>
      </c>
      <c r="K35" s="147"/>
      <c r="L35" s="144" t="str">
        <f t="shared" si="1"/>
        <v>E</v>
      </c>
      <c r="O35" s="108"/>
    </row>
    <row r="36" spans="2:15" ht="12.75">
      <c r="B36" s="81"/>
      <c r="C36" s="122" t="s">
        <v>38</v>
      </c>
      <c r="D36">
        <v>2</v>
      </c>
      <c r="E36" s="23">
        <v>6.178020020510991</v>
      </c>
      <c r="F36" s="23" t="s">
        <v>143</v>
      </c>
      <c r="G36" s="23" t="s">
        <v>143</v>
      </c>
      <c r="H36" s="23" t="s">
        <v>143</v>
      </c>
      <c r="I36" s="23">
        <v>4.33</v>
      </c>
      <c r="J36" s="23">
        <v>8.026040041021982</v>
      </c>
      <c r="K36" s="147"/>
      <c r="L36" s="144" t="str">
        <f t="shared" si="1"/>
        <v>E</v>
      </c>
      <c r="O36" s="108"/>
    </row>
    <row r="37" spans="2:15" ht="12.75">
      <c r="B37" s="81"/>
      <c r="C37" s="122" t="s">
        <v>39</v>
      </c>
      <c r="D37">
        <v>2</v>
      </c>
      <c r="E37" s="23">
        <v>1.022220166168755</v>
      </c>
      <c r="F37" s="23" t="s">
        <v>143</v>
      </c>
      <c r="G37" s="23" t="s">
        <v>143</v>
      </c>
      <c r="H37" s="23" t="s">
        <v>143</v>
      </c>
      <c r="I37" s="23">
        <v>0.79</v>
      </c>
      <c r="J37" s="23">
        <v>1.25444033233751</v>
      </c>
      <c r="K37" s="147"/>
      <c r="L37" s="144" t="str">
        <f t="shared" si="1"/>
        <v>E</v>
      </c>
      <c r="O37" s="108"/>
    </row>
    <row r="38" spans="2:15" ht="12.75">
      <c r="B38" s="81"/>
      <c r="C38" s="122" t="s">
        <v>40</v>
      </c>
      <c r="D38">
        <v>2</v>
      </c>
      <c r="E38" s="23">
        <v>4.093058887353042</v>
      </c>
      <c r="F38" s="23" t="s">
        <v>143</v>
      </c>
      <c r="G38" s="23" t="s">
        <v>143</v>
      </c>
      <c r="H38" s="23" t="s">
        <v>143</v>
      </c>
      <c r="I38" s="23">
        <v>2.99</v>
      </c>
      <c r="J38" s="23">
        <v>5.196117774706084</v>
      </c>
      <c r="K38" s="147"/>
      <c r="L38" s="144"/>
      <c r="O38" s="108"/>
    </row>
    <row r="39" spans="2:15" ht="12.75">
      <c r="B39" s="81"/>
      <c r="C39" s="122" t="s">
        <v>41</v>
      </c>
      <c r="D39">
        <v>2</v>
      </c>
      <c r="E39" s="23">
        <v>3.774565479110002</v>
      </c>
      <c r="F39" s="23" t="s">
        <v>143</v>
      </c>
      <c r="G39" s="23" t="s">
        <v>143</v>
      </c>
      <c r="H39" s="23" t="s">
        <v>143</v>
      </c>
      <c r="I39" s="23">
        <v>2.68</v>
      </c>
      <c r="J39" s="23">
        <v>4.869130958220003</v>
      </c>
      <c r="K39" s="147"/>
      <c r="L39" s="144" t="str">
        <f t="shared" si="1"/>
        <v>E</v>
      </c>
      <c r="O39" s="108"/>
    </row>
    <row r="40" spans="2:15" ht="12.75">
      <c r="B40" s="127"/>
      <c r="C40" s="128" t="s">
        <v>42</v>
      </c>
      <c r="E40" s="23">
        <v>55.964057088925564</v>
      </c>
      <c r="F40" s="23"/>
      <c r="G40" s="23"/>
      <c r="H40" s="23"/>
      <c r="I40" s="23"/>
      <c r="J40" s="23"/>
      <c r="K40" s="147"/>
      <c r="L40" s="144" t="str">
        <f t="shared" si="1"/>
        <v>E</v>
      </c>
      <c r="O40" s="108"/>
    </row>
    <row r="41" spans="2:15" ht="12.75">
      <c r="B41" s="127"/>
      <c r="C41" s="131" t="s">
        <v>43</v>
      </c>
      <c r="E41" s="23">
        <v>62.932584384893225</v>
      </c>
      <c r="F41" s="23"/>
      <c r="G41" s="23"/>
      <c r="H41" s="23"/>
      <c r="I41" s="23"/>
      <c r="J41" s="23"/>
      <c r="K41" s="147"/>
      <c r="L41" s="144" t="str">
        <f t="shared" si="1"/>
        <v>E</v>
      </c>
      <c r="O41" s="108"/>
    </row>
    <row r="42" spans="2:15" ht="12.75">
      <c r="B42" s="81"/>
      <c r="C42" s="122" t="s">
        <v>44</v>
      </c>
      <c r="D42">
        <v>2</v>
      </c>
      <c r="E42" s="23">
        <v>2.096303711300367</v>
      </c>
      <c r="F42" s="23" t="s">
        <v>143</v>
      </c>
      <c r="G42" s="23" t="s">
        <v>143</v>
      </c>
      <c r="H42" s="23" t="s">
        <v>143</v>
      </c>
      <c r="I42" s="23">
        <v>1.22</v>
      </c>
      <c r="J42" s="23">
        <v>2.9726074226007344</v>
      </c>
      <c r="K42" s="147"/>
      <c r="L42" s="152"/>
      <c r="O42" s="108"/>
    </row>
    <row r="43" spans="2:15" ht="13.5" thickBot="1">
      <c r="B43" s="83"/>
      <c r="C43" s="133"/>
      <c r="D43" s="134"/>
      <c r="E43" s="84"/>
      <c r="F43" s="84"/>
      <c r="G43" s="84"/>
      <c r="H43" s="84"/>
      <c r="I43" s="84"/>
      <c r="J43" s="84"/>
      <c r="K43" s="84"/>
      <c r="L43" s="135"/>
      <c r="O43" s="108"/>
    </row>
    <row r="44" spans="2:12" ht="12.75">
      <c r="B44" s="80"/>
      <c r="C44" s="89"/>
      <c r="D44" s="89"/>
      <c r="E44" s="89"/>
      <c r="F44" s="89"/>
      <c r="G44" s="89"/>
      <c r="H44" s="89"/>
      <c r="I44" s="89"/>
      <c r="J44" s="89"/>
      <c r="K44" s="89"/>
      <c r="L44" s="100"/>
    </row>
    <row r="45" spans="2:12" ht="12.75">
      <c r="B45" s="210" t="s">
        <v>119</v>
      </c>
      <c r="C45" s="211"/>
      <c r="D45" s="211"/>
      <c r="E45" s="211"/>
      <c r="F45" s="211"/>
      <c r="G45" s="76" t="str">
        <f>'Combined Score Calcs'!R10</f>
        <v>D</v>
      </c>
      <c r="H45" s="39"/>
      <c r="I45" s="39"/>
      <c r="J45" s="39"/>
      <c r="K45" s="99"/>
      <c r="L45" s="90"/>
    </row>
    <row r="46" spans="2:12" ht="13.5" thickBot="1">
      <c r="B46" s="83"/>
      <c r="C46" s="84"/>
      <c r="D46" s="84"/>
      <c r="E46" s="84"/>
      <c r="F46" s="84"/>
      <c r="G46" s="84"/>
      <c r="H46" s="84"/>
      <c r="I46" s="84"/>
      <c r="J46" s="84"/>
      <c r="K46" s="84"/>
      <c r="L46" s="91"/>
    </row>
    <row r="47" ht="12.75">
      <c r="L47" s="60"/>
    </row>
    <row r="48" ht="12.75">
      <c r="L48" s="60"/>
    </row>
    <row r="49" ht="12.75">
      <c r="L49" s="60"/>
    </row>
    <row r="50" ht="12.75">
      <c r="L50" s="60"/>
    </row>
    <row r="51" spans="7:12" ht="12.75">
      <c r="G51" t="s">
        <v>140</v>
      </c>
      <c r="H51" t="s">
        <v>141</v>
      </c>
      <c r="L51" s="60"/>
    </row>
    <row r="52" spans="7:12" ht="12.75">
      <c r="G52" s="118" t="s">
        <v>21</v>
      </c>
      <c r="H52" s="136">
        <v>1.5</v>
      </c>
      <c r="I52" s="137">
        <v>10</v>
      </c>
      <c r="L52" s="60"/>
    </row>
    <row r="53" spans="7:12" ht="12.75">
      <c r="G53" s="122" t="s">
        <v>22</v>
      </c>
      <c r="H53" s="137">
        <v>65</v>
      </c>
      <c r="I53" s="137">
        <v>270</v>
      </c>
      <c r="L53" s="60"/>
    </row>
    <row r="54" spans="7:12" ht="12.75">
      <c r="G54" s="122" t="s">
        <v>23</v>
      </c>
      <c r="H54" s="137">
        <v>50</v>
      </c>
      <c r="I54" s="137">
        <v>220</v>
      </c>
      <c r="L54" s="60"/>
    </row>
    <row r="55" spans="7:12" ht="12.75">
      <c r="G55" s="122" t="s">
        <v>24</v>
      </c>
      <c r="H55" s="137">
        <v>200</v>
      </c>
      <c r="I55" s="137">
        <v>210</v>
      </c>
      <c r="L55" s="60"/>
    </row>
    <row r="56" spans="7:12" ht="12.75">
      <c r="G56" s="122"/>
      <c r="H56" t="s">
        <v>137</v>
      </c>
      <c r="I56" t="s">
        <v>138</v>
      </c>
      <c r="L56" s="60"/>
    </row>
    <row r="57" spans="7:12" ht="12.75">
      <c r="G57" s="122" t="s">
        <v>28</v>
      </c>
      <c r="H57" s="138">
        <v>0.019</v>
      </c>
      <c r="I57" s="139">
        <v>0.54</v>
      </c>
      <c r="L57" s="60"/>
    </row>
    <row r="58" spans="7:12" ht="12.75">
      <c r="G58" s="122" t="s">
        <v>29</v>
      </c>
      <c r="H58" s="138">
        <v>0.24</v>
      </c>
      <c r="I58" s="139">
        <v>1.5</v>
      </c>
      <c r="L58" s="60"/>
    </row>
    <row r="59" spans="7:12" ht="12.75">
      <c r="G59" s="122" t="s">
        <v>30</v>
      </c>
      <c r="H59" s="138">
        <v>0.085</v>
      </c>
      <c r="I59" s="139">
        <v>1.1</v>
      </c>
      <c r="L59" s="60"/>
    </row>
    <row r="60" spans="7:12" ht="12.75">
      <c r="G60" s="128" t="s">
        <v>31</v>
      </c>
      <c r="H60" s="138">
        <v>0.552</v>
      </c>
      <c r="I60" s="139">
        <v>3.16</v>
      </c>
      <c r="L60" s="60"/>
    </row>
    <row r="61" spans="7:12" ht="12.75">
      <c r="G61" s="122" t="s">
        <v>32</v>
      </c>
      <c r="H61" s="138">
        <v>0.6</v>
      </c>
      <c r="I61" s="139">
        <v>5.1</v>
      </c>
      <c r="L61" s="60"/>
    </row>
    <row r="62" spans="7:12" ht="12.75">
      <c r="G62" s="122" t="s">
        <v>33</v>
      </c>
      <c r="H62" s="138">
        <v>0.665</v>
      </c>
      <c r="I62" s="139">
        <v>2.6</v>
      </c>
      <c r="L62" s="60"/>
    </row>
    <row r="63" spans="7:12" ht="12.75">
      <c r="G63" s="122" t="s">
        <v>34</v>
      </c>
      <c r="H63" s="138">
        <v>0.261</v>
      </c>
      <c r="I63" s="139">
        <v>1.6</v>
      </c>
      <c r="L63" s="60"/>
    </row>
    <row r="64" spans="7:12" ht="12.75">
      <c r="G64" s="122" t="s">
        <v>35</v>
      </c>
      <c r="H64" s="138">
        <v>0.384</v>
      </c>
      <c r="I64" s="139">
        <v>2.8</v>
      </c>
      <c r="L64" s="60"/>
    </row>
    <row r="65" spans="7:12" ht="12.75">
      <c r="G65" s="122" t="s">
        <v>36</v>
      </c>
      <c r="H65" s="138">
        <v>0.8</v>
      </c>
      <c r="I65" s="139">
        <v>8</v>
      </c>
      <c r="L65" s="60"/>
    </row>
    <row r="66" spans="7:9" ht="12.75">
      <c r="G66" s="122" t="s">
        <v>37</v>
      </c>
      <c r="H66" s="138">
        <v>0.8</v>
      </c>
      <c r="I66" s="139">
        <v>8</v>
      </c>
    </row>
    <row r="67" spans="7:9" ht="12.75">
      <c r="G67" s="122" t="s">
        <v>38</v>
      </c>
      <c r="H67" s="138">
        <v>0.43</v>
      </c>
      <c r="I67" s="139">
        <v>1.6</v>
      </c>
    </row>
    <row r="68" spans="7:9" ht="12.75">
      <c r="G68" s="122" t="s">
        <v>39</v>
      </c>
      <c r="H68" s="138">
        <v>0.063</v>
      </c>
      <c r="I68" s="139">
        <v>0.26</v>
      </c>
    </row>
    <row r="69" spans="7:9" ht="12.75">
      <c r="G69" s="122" t="s">
        <v>40</v>
      </c>
      <c r="H69" s="138" t="s">
        <v>139</v>
      </c>
      <c r="I69" s="139" t="s">
        <v>139</v>
      </c>
    </row>
    <row r="70" spans="7:9" ht="12.75">
      <c r="G70" s="122" t="s">
        <v>41</v>
      </c>
      <c r="H70" s="138">
        <v>0.069</v>
      </c>
      <c r="I70" s="139">
        <v>5.2</v>
      </c>
    </row>
    <row r="71" spans="7:9" ht="12.75">
      <c r="G71" s="128" t="s">
        <v>42</v>
      </c>
      <c r="H71" s="138">
        <v>1.7</v>
      </c>
      <c r="I71" s="139">
        <v>9.6</v>
      </c>
    </row>
    <row r="72" spans="7:9" ht="12.75">
      <c r="G72" s="131" t="s">
        <v>43</v>
      </c>
      <c r="H72" s="138">
        <v>4</v>
      </c>
      <c r="I72" s="139">
        <v>45</v>
      </c>
    </row>
    <row r="73" ht="12.75">
      <c r="G73" s="122" t="s">
        <v>44</v>
      </c>
    </row>
    <row r="77" spans="5:11" ht="12.75">
      <c r="E77" s="158"/>
      <c r="F77" s="153"/>
      <c r="G77" s="168"/>
      <c r="H77" s="168"/>
      <c r="I77" s="168"/>
      <c r="J77" s="119"/>
      <c r="K77" s="119"/>
    </row>
    <row r="78" spans="5:11" ht="12.75">
      <c r="E78" s="158"/>
      <c r="F78" s="153"/>
      <c r="G78" s="168"/>
      <c r="H78" s="168"/>
      <c r="I78" s="168"/>
      <c r="J78" s="119"/>
      <c r="K78" s="119"/>
    </row>
    <row r="79" spans="5:11" ht="12.75">
      <c r="E79" s="158"/>
      <c r="F79" s="153"/>
      <c r="G79" s="168"/>
      <c r="H79" s="168"/>
      <c r="I79" s="168"/>
      <c r="J79" s="119"/>
      <c r="K79" s="119"/>
    </row>
    <row r="80" spans="5:11" ht="12.75">
      <c r="E80" s="158"/>
      <c r="F80" s="153"/>
      <c r="G80" s="168"/>
      <c r="H80" s="168"/>
      <c r="I80" s="168"/>
      <c r="J80" s="119"/>
      <c r="K80" s="119"/>
    </row>
    <row r="81" spans="5:11" ht="12.75">
      <c r="E81" s="159"/>
      <c r="F81" s="124"/>
      <c r="G81" s="42"/>
      <c r="H81" s="42"/>
      <c r="I81" s="168"/>
      <c r="J81" s="42"/>
      <c r="K81" s="42"/>
    </row>
    <row r="82" spans="5:11" ht="12.75">
      <c r="E82" s="125"/>
      <c r="F82" s="154"/>
      <c r="G82" s="42"/>
      <c r="H82" s="42"/>
      <c r="I82" s="168"/>
      <c r="J82" s="126"/>
      <c r="K82" s="126"/>
    </row>
    <row r="83" spans="5:11" ht="12.75">
      <c r="E83" s="125"/>
      <c r="F83" s="154"/>
      <c r="G83" s="158"/>
      <c r="H83" s="158"/>
      <c r="I83" s="168"/>
      <c r="J83" s="126"/>
      <c r="K83" s="126"/>
    </row>
    <row r="84" spans="5:11" ht="12.75">
      <c r="E84" s="125"/>
      <c r="F84" s="154"/>
      <c r="G84" s="158"/>
      <c r="H84" s="158"/>
      <c r="I84" s="168"/>
      <c r="J84" s="126"/>
      <c r="K84" s="126"/>
    </row>
    <row r="85" spans="5:11" ht="12.75">
      <c r="E85" s="125"/>
      <c r="F85" s="155"/>
      <c r="G85" s="158"/>
      <c r="H85" s="158"/>
      <c r="I85" s="168"/>
      <c r="J85" s="126"/>
      <c r="K85" s="126"/>
    </row>
    <row r="86" spans="5:11" ht="12.75">
      <c r="E86" s="125"/>
      <c r="F86" s="154"/>
      <c r="G86" s="158"/>
      <c r="H86" s="158"/>
      <c r="I86" s="168"/>
      <c r="J86" s="126"/>
      <c r="K86" s="126"/>
    </row>
    <row r="87" spans="5:11" ht="12.75">
      <c r="E87" s="125"/>
      <c r="F87" s="154"/>
      <c r="G87" s="159"/>
      <c r="H87" s="159"/>
      <c r="I87" s="168"/>
      <c r="J87" s="126"/>
      <c r="K87" s="126"/>
    </row>
    <row r="88" spans="5:11" ht="12.75">
      <c r="E88" s="125"/>
      <c r="F88" s="154"/>
      <c r="G88" s="159"/>
      <c r="H88" s="159"/>
      <c r="I88" s="168"/>
      <c r="J88" s="126"/>
      <c r="K88" s="126"/>
    </row>
    <row r="89" spans="5:11" ht="12.75">
      <c r="E89" s="125"/>
      <c r="F89" s="154"/>
      <c r="G89" s="159"/>
      <c r="H89" s="159"/>
      <c r="I89" s="168"/>
      <c r="J89" s="126"/>
      <c r="K89" s="126"/>
    </row>
    <row r="90" spans="5:11" ht="12.75">
      <c r="E90" s="125"/>
      <c r="F90" s="154"/>
      <c r="G90" s="159"/>
      <c r="H90" s="159"/>
      <c r="I90" s="168"/>
      <c r="J90" s="126"/>
      <c r="K90" s="126"/>
    </row>
    <row r="91" spans="5:11" ht="12.75">
      <c r="E91" s="125"/>
      <c r="F91" s="154"/>
      <c r="G91" s="159"/>
      <c r="H91" s="159"/>
      <c r="I91" s="168"/>
      <c r="J91" s="126"/>
      <c r="K91" s="126"/>
    </row>
    <row r="92" spans="5:11" ht="12.75">
      <c r="E92" s="125"/>
      <c r="F92" s="154"/>
      <c r="G92" s="159"/>
      <c r="H92" s="159"/>
      <c r="I92" s="168"/>
      <c r="J92" s="126"/>
      <c r="K92" s="126"/>
    </row>
    <row r="93" spans="5:11" ht="12.75">
      <c r="E93" s="125"/>
      <c r="F93" s="154"/>
      <c r="G93" s="159"/>
      <c r="H93" s="159"/>
      <c r="I93" s="168"/>
      <c r="J93" s="126"/>
      <c r="K93" s="126"/>
    </row>
    <row r="94" spans="5:11" ht="12.75">
      <c r="E94" s="125"/>
      <c r="F94" s="154"/>
      <c r="G94" s="159"/>
      <c r="H94" s="159"/>
      <c r="I94" s="168"/>
      <c r="J94" s="126"/>
      <c r="K94" s="126"/>
    </row>
    <row r="95" spans="5:11" ht="12.75">
      <c r="E95" s="125"/>
      <c r="F95" s="154"/>
      <c r="G95" s="168"/>
      <c r="H95" s="168"/>
      <c r="I95" s="168"/>
      <c r="J95" s="126"/>
      <c r="K95" s="126"/>
    </row>
    <row r="96" spans="5:11" ht="12.75">
      <c r="E96" s="125"/>
      <c r="F96" s="155"/>
      <c r="G96" s="159"/>
      <c r="H96" s="159"/>
      <c r="I96" s="168"/>
      <c r="J96" s="126"/>
      <c r="K96" s="126"/>
    </row>
    <row r="97" spans="5:11" ht="12.75">
      <c r="E97" s="125"/>
      <c r="F97" s="156"/>
      <c r="G97" s="159"/>
      <c r="H97" s="159"/>
      <c r="I97" s="168"/>
      <c r="J97" s="126"/>
      <c r="K97" s="126"/>
    </row>
    <row r="98" spans="5:11" ht="12.75">
      <c r="E98" s="125"/>
      <c r="F98" s="132"/>
      <c r="G98" s="168"/>
      <c r="H98" s="168"/>
      <c r="I98" s="168"/>
      <c r="J98" s="126"/>
      <c r="K98" s="126"/>
    </row>
  </sheetData>
  <mergeCells count="1">
    <mergeCell ref="B45:F45"/>
  </mergeCells>
  <printOptions/>
  <pageMargins left="0.75" right="0.75" top="1" bottom="1" header="0.5" footer="0.5"/>
  <pageSetup horizontalDpi="600" verticalDpi="600" orientation="portrait" paperSize="133" r:id="rId1"/>
</worksheet>
</file>

<file path=xl/worksheets/sheet16.xml><?xml version="1.0" encoding="utf-8"?>
<worksheet xmlns="http://schemas.openxmlformats.org/spreadsheetml/2006/main" xmlns:r="http://schemas.openxmlformats.org/officeDocument/2006/relationships">
  <dimension ref="B1:AQ47"/>
  <sheetViews>
    <sheetView workbookViewId="0" topLeftCell="A1">
      <selection activeCell="B3" sqref="B3:L28"/>
    </sheetView>
  </sheetViews>
  <sheetFormatPr defaultColWidth="9.140625" defaultRowHeight="12.75"/>
  <cols>
    <col min="3" max="3" width="28.7109375" style="0" bestFit="1" customWidth="1"/>
    <col min="14" max="14" width="34.140625" style="0" customWidth="1"/>
    <col min="16" max="16" width="33.57421875" style="0" customWidth="1"/>
    <col min="17" max="17" width="14.421875" style="0" bestFit="1" customWidth="1"/>
  </cols>
  <sheetData>
    <row r="1" spans="2:15" ht="15.75">
      <c r="B1" s="107" t="s">
        <v>150</v>
      </c>
      <c r="O1" s="109" t="s">
        <v>125</v>
      </c>
    </row>
    <row r="2" spans="12:39" ht="13.5" thickBot="1">
      <c r="L2" s="60"/>
      <c r="N2" s="116" t="s">
        <v>84</v>
      </c>
      <c r="O2" s="110"/>
      <c r="P2" t="s">
        <v>84</v>
      </c>
      <c r="Q2" t="s">
        <v>168</v>
      </c>
      <c r="R2" t="s">
        <v>168</v>
      </c>
      <c r="S2" t="s">
        <v>168</v>
      </c>
      <c r="T2" t="s">
        <v>168</v>
      </c>
      <c r="U2" t="s">
        <v>168</v>
      </c>
      <c r="V2" t="s">
        <v>168</v>
      </c>
      <c r="W2" t="s">
        <v>168</v>
      </c>
      <c r="X2" t="s">
        <v>168</v>
      </c>
      <c r="Y2" t="s">
        <v>168</v>
      </c>
      <c r="Z2" t="s">
        <v>168</v>
      </c>
      <c r="AA2" t="s">
        <v>168</v>
      </c>
      <c r="AB2" t="s">
        <v>168</v>
      </c>
      <c r="AC2" t="s">
        <v>168</v>
      </c>
      <c r="AD2" t="s">
        <v>168</v>
      </c>
      <c r="AE2" t="s">
        <v>168</v>
      </c>
      <c r="AF2" t="s">
        <v>168</v>
      </c>
      <c r="AG2" t="s">
        <v>168</v>
      </c>
      <c r="AH2" t="s">
        <v>168</v>
      </c>
      <c r="AI2" t="s">
        <v>168</v>
      </c>
      <c r="AJ2" t="s">
        <v>168</v>
      </c>
      <c r="AK2" t="s">
        <v>168</v>
      </c>
      <c r="AL2" t="s">
        <v>168</v>
      </c>
      <c r="AM2" t="s">
        <v>168</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36836.59375</v>
      </c>
      <c r="R3" s="64">
        <v>36923.625</v>
      </c>
      <c r="S3" s="64">
        <v>37013.65972222222</v>
      </c>
      <c r="T3" s="64">
        <v>37112.70138888889</v>
      </c>
      <c r="U3" s="64">
        <v>37222.354166666664</v>
      </c>
      <c r="V3" s="64">
        <v>37383.600694444445</v>
      </c>
      <c r="W3" s="64">
        <v>37474.555555555555</v>
      </c>
      <c r="X3" s="64">
        <v>37586.35763888889</v>
      </c>
      <c r="Y3" s="64">
        <v>37648.54513888889</v>
      </c>
      <c r="Z3" s="64">
        <v>37746.625</v>
      </c>
      <c r="AA3" s="64">
        <v>37837.59027777778</v>
      </c>
      <c r="AB3" s="64">
        <v>37950.427083333336</v>
      </c>
      <c r="AC3" s="64">
        <v>38027.586805555555</v>
      </c>
      <c r="AD3" s="64">
        <v>38111.59375</v>
      </c>
      <c r="AE3" s="64">
        <v>38202.504166666666</v>
      </c>
      <c r="AF3" s="64">
        <v>38335.694444444445</v>
      </c>
      <c r="AG3" s="64">
        <v>38393.489583333336</v>
      </c>
      <c r="AH3" s="64">
        <v>38477.54861111111</v>
      </c>
      <c r="AI3" s="64">
        <v>38593.56805555556</v>
      </c>
      <c r="AJ3" s="64">
        <v>38679.63402777778</v>
      </c>
      <c r="AK3" s="64">
        <v>38776.572916666664</v>
      </c>
      <c r="AL3" s="64">
        <v>38869.51736111111</v>
      </c>
      <c r="AM3" s="64">
        <v>38960.509722222225</v>
      </c>
      <c r="AO3" s="64"/>
      <c r="AP3" s="64"/>
      <c r="AQ3" s="64"/>
    </row>
    <row r="4" spans="2:39" ht="12.75">
      <c r="B4" s="68" t="s">
        <v>103</v>
      </c>
      <c r="C4" s="93" t="s">
        <v>4</v>
      </c>
      <c r="D4" s="81">
        <f>COUNT(Q4:EC4)</f>
        <v>19</v>
      </c>
      <c r="E4" s="82">
        <f>AVERAGE(Q4:EC4)</f>
        <v>0.01731578947368421</v>
      </c>
      <c r="F4" s="82">
        <f aca="true" t="shared" si="0" ref="F4:F15">CONFIDENCE(0.05,G4,D4)</f>
        <v>0.011902243511877304</v>
      </c>
      <c r="G4" s="82">
        <f>STDEV(Q4:EC4)</f>
        <v>0.026470219391230648</v>
      </c>
      <c r="H4" s="82">
        <f>QUARTILE(Q4:EC4,2)</f>
        <v>0.007</v>
      </c>
      <c r="I4" s="82">
        <f>MIN(Q4:EC4)</f>
        <v>0.002</v>
      </c>
      <c r="J4" s="82">
        <f>MAX(Q4:EC4)</f>
        <v>0.11</v>
      </c>
      <c r="K4" s="82">
        <f>PERCENTILE(Q4:EC4,0.95)</f>
        <v>0.05959999999999988</v>
      </c>
      <c r="L4" s="102" t="str">
        <f>IF((H4+H5)&lt;0.08,"A",IF((H4+H5)&lt;0.12,"B",IF((H4+H5)&lt;0.295,"C",IF((H4+H5)&lt;0.444,"D","E"))))</f>
        <v>A</v>
      </c>
      <c r="N4" s="116" t="s">
        <v>86</v>
      </c>
      <c r="O4" s="108"/>
      <c r="P4" t="s">
        <v>86</v>
      </c>
      <c r="R4">
        <v>0.02</v>
      </c>
      <c r="S4">
        <v>0.02</v>
      </c>
      <c r="V4">
        <v>0.005</v>
      </c>
      <c r="X4">
        <v>0.008</v>
      </c>
      <c r="Y4">
        <v>0.003</v>
      </c>
      <c r="Z4">
        <v>0.003</v>
      </c>
      <c r="AA4">
        <v>0.002</v>
      </c>
      <c r="AB4">
        <v>0.005</v>
      </c>
      <c r="AC4">
        <v>0.003</v>
      </c>
      <c r="AD4">
        <v>0.011</v>
      </c>
      <c r="AE4">
        <v>0.11</v>
      </c>
      <c r="AF4">
        <v>0.007</v>
      </c>
      <c r="AG4">
        <v>0.003</v>
      </c>
      <c r="AH4">
        <v>0.039</v>
      </c>
      <c r="AI4">
        <v>0.008</v>
      </c>
      <c r="AJ4">
        <v>0.002</v>
      </c>
      <c r="AK4">
        <v>0.002</v>
      </c>
      <c r="AL4">
        <v>0.054</v>
      </c>
      <c r="AM4">
        <v>0.024</v>
      </c>
    </row>
    <row r="5" spans="2:39" ht="12.75">
      <c r="B5" s="69"/>
      <c r="C5" s="5" t="s">
        <v>5</v>
      </c>
      <c r="D5" s="73">
        <f>COUNT(Q5:EC5)</f>
        <v>18</v>
      </c>
      <c r="E5" s="112">
        <f>AVERAGE(Q5:EC5)</f>
        <v>0.005111111111111111</v>
      </c>
      <c r="F5" s="112">
        <f t="shared" si="0"/>
        <v>0.00021777377606000596</v>
      </c>
      <c r="G5" s="112">
        <f>STDEV(Q5:EC5)</f>
        <v>0.00047140452079103153</v>
      </c>
      <c r="H5" s="112">
        <f>QUARTILE(Q5:EC5,2)</f>
        <v>0.005</v>
      </c>
      <c r="I5" s="112">
        <f>MIN(Q5:EC5)</f>
        <v>0.005</v>
      </c>
      <c r="J5" s="112">
        <f>MAX(Q5:EC5)</f>
        <v>0.007</v>
      </c>
      <c r="K5" s="112">
        <f>PERCENTILE(Q5:EC5,0.95)</f>
        <v>0.005299999999999997</v>
      </c>
      <c r="L5" s="102"/>
      <c r="N5" s="116" t="s">
        <v>87</v>
      </c>
      <c r="O5" s="108"/>
      <c r="P5" t="s">
        <v>87</v>
      </c>
      <c r="V5">
        <v>0.005</v>
      </c>
      <c r="W5">
        <v>0.007</v>
      </c>
      <c r="X5">
        <v>0.005</v>
      </c>
      <c r="Y5">
        <v>0.005</v>
      </c>
      <c r="Z5">
        <v>0.005</v>
      </c>
      <c r="AA5">
        <v>0.005</v>
      </c>
      <c r="AB5">
        <v>0.005</v>
      </c>
      <c r="AC5">
        <v>0.005</v>
      </c>
      <c r="AD5">
        <v>0.005</v>
      </c>
      <c r="AE5">
        <v>0.005</v>
      </c>
      <c r="AF5">
        <v>0.005</v>
      </c>
      <c r="AG5">
        <v>0.005</v>
      </c>
      <c r="AH5">
        <v>0.005</v>
      </c>
      <c r="AI5">
        <v>0.005</v>
      </c>
      <c r="AJ5">
        <v>0.005</v>
      </c>
      <c r="AK5">
        <v>0.005</v>
      </c>
      <c r="AL5">
        <v>0.005</v>
      </c>
      <c r="AM5">
        <v>0.005</v>
      </c>
    </row>
    <row r="6" spans="2:39" ht="12.75">
      <c r="B6" s="70"/>
      <c r="C6" s="94" t="s">
        <v>6</v>
      </c>
      <c r="D6" s="73">
        <f>COUNT(Q6:EC6)</f>
        <v>23</v>
      </c>
      <c r="E6" s="112">
        <f>AVERAGE(Q6:EC6)</f>
        <v>0.0043043478260869576</v>
      </c>
      <c r="F6" s="112">
        <f t="shared" si="0"/>
        <v>0.0004995394741545399</v>
      </c>
      <c r="G6" s="112">
        <f>STDEV(Q6:EC6)</f>
        <v>0.0012223220304997612</v>
      </c>
      <c r="H6" s="112">
        <f>QUARTILE(Q6:EC6,2)</f>
        <v>0.005</v>
      </c>
      <c r="I6" s="112">
        <f>MIN(Q6:EC6)</f>
        <v>0.002</v>
      </c>
      <c r="J6" s="112">
        <f>MAX(Q6:EC6)</f>
        <v>0.007</v>
      </c>
      <c r="K6" s="112">
        <f>PERCENTILE(Q6:EC6,0.95)</f>
        <v>0.005</v>
      </c>
      <c r="L6" s="102" t="str">
        <f>IF((H6)&lt;0.005,"A",IF((H6)&lt;0.008,"B",IF((H6)&lt;0.026,"C",IF((H6)&lt;0.05,"D","E"))))</f>
        <v>B</v>
      </c>
      <c r="N6" s="116" t="s">
        <v>88</v>
      </c>
      <c r="O6" s="108"/>
      <c r="P6" t="s">
        <v>88</v>
      </c>
      <c r="Q6">
        <v>0.005</v>
      </c>
      <c r="R6">
        <v>0.005</v>
      </c>
      <c r="S6">
        <v>0.007</v>
      </c>
      <c r="T6">
        <v>0.005</v>
      </c>
      <c r="U6">
        <v>0.005</v>
      </c>
      <c r="V6">
        <v>0.005</v>
      </c>
      <c r="W6">
        <v>0.005</v>
      </c>
      <c r="X6">
        <v>0.005</v>
      </c>
      <c r="Y6">
        <v>0.005</v>
      </c>
      <c r="Z6">
        <v>0.005</v>
      </c>
      <c r="AA6">
        <v>0.005</v>
      </c>
      <c r="AB6">
        <v>0.005</v>
      </c>
      <c r="AC6">
        <v>0.003</v>
      </c>
      <c r="AD6">
        <v>0.004</v>
      </c>
      <c r="AE6">
        <v>0.005</v>
      </c>
      <c r="AF6">
        <v>0.003</v>
      </c>
      <c r="AG6">
        <v>0.004</v>
      </c>
      <c r="AH6">
        <v>0.002</v>
      </c>
      <c r="AI6">
        <v>0.002</v>
      </c>
      <c r="AJ6">
        <v>0.004</v>
      </c>
      <c r="AK6">
        <v>0.002</v>
      </c>
      <c r="AL6">
        <v>0.004</v>
      </c>
      <c r="AM6">
        <v>0.004</v>
      </c>
    </row>
    <row r="7" spans="2:39" ht="12.75">
      <c r="B7" s="71" t="s">
        <v>104</v>
      </c>
      <c r="C7" s="6" t="s">
        <v>7</v>
      </c>
      <c r="D7" s="86">
        <f>COUNT(Q7:EC7)</f>
        <v>23</v>
      </c>
      <c r="E7" s="113">
        <f>AVERAGE(Q7:EC7)</f>
        <v>8.162173913043477</v>
      </c>
      <c r="F7" s="113">
        <f t="shared" si="0"/>
        <v>0.1913273416305306</v>
      </c>
      <c r="G7" s="113">
        <f>STDEV(Q7:EC7)</f>
        <v>0.4681584475536413</v>
      </c>
      <c r="H7" s="113">
        <f>QUARTILE(Q7:EC7,2)</f>
        <v>8.19</v>
      </c>
      <c r="I7" s="113">
        <f>MIN(Q7:EC7)</f>
        <v>7.2</v>
      </c>
      <c r="J7" s="113">
        <f>MAX(Q7:EC7)</f>
        <v>9</v>
      </c>
      <c r="K7" s="113">
        <f>PERCENTILE(Q7:EC7,0.95)</f>
        <v>8.911999999999999</v>
      </c>
      <c r="L7" s="103" t="str">
        <f>IF(AND(7.2&lt;H7,H7&lt;9),"A",IF(AND(7.2&lt;=H7,H7&lt;=9),"B",IF(AND(6.5&lt;=H7,H7&lt;=9),"C",IF(AND(6.5&lt;=H7,H7&lt;=10),"D","E"))))</f>
        <v>A</v>
      </c>
      <c r="N7" s="116" t="s">
        <v>89</v>
      </c>
      <c r="O7" s="108"/>
      <c r="P7" t="s">
        <v>89</v>
      </c>
      <c r="Q7">
        <v>8.56</v>
      </c>
      <c r="R7">
        <v>8.75</v>
      </c>
      <c r="S7">
        <v>8.93</v>
      </c>
      <c r="T7">
        <v>8.16</v>
      </c>
      <c r="U7">
        <v>7.75</v>
      </c>
      <c r="V7">
        <v>8.4</v>
      </c>
      <c r="W7">
        <v>9</v>
      </c>
      <c r="X7">
        <v>8.18</v>
      </c>
      <c r="Y7">
        <v>8.4</v>
      </c>
      <c r="Z7">
        <v>8.3</v>
      </c>
      <c r="AA7">
        <v>8.38</v>
      </c>
      <c r="AB7">
        <v>8.18</v>
      </c>
      <c r="AC7">
        <v>7.86</v>
      </c>
      <c r="AD7">
        <v>7.32</v>
      </c>
      <c r="AE7">
        <v>7.61</v>
      </c>
      <c r="AF7">
        <v>8.28</v>
      </c>
      <c r="AG7">
        <v>8.32</v>
      </c>
      <c r="AH7">
        <v>7.92</v>
      </c>
      <c r="AI7">
        <v>8.19</v>
      </c>
      <c r="AJ7">
        <v>7.2</v>
      </c>
      <c r="AK7">
        <v>7.53</v>
      </c>
      <c r="AL7">
        <v>8</v>
      </c>
      <c r="AM7">
        <v>8.51</v>
      </c>
    </row>
    <row r="8" spans="2:39" ht="12.75">
      <c r="B8" s="71"/>
      <c r="C8" s="6" t="s">
        <v>8</v>
      </c>
      <c r="D8" s="81">
        <f>COUNT(Q8:EC8)</f>
        <v>23</v>
      </c>
      <c r="E8" s="44">
        <f>AVERAGE(Q8:EC8)</f>
        <v>13.59391304347826</v>
      </c>
      <c r="F8" s="44">
        <f t="shared" si="0"/>
        <v>1.774627697087145</v>
      </c>
      <c r="G8" s="44">
        <f>STDEV(Q8:EC8)</f>
        <v>4.342332572928183</v>
      </c>
      <c r="H8" s="44">
        <f>QUARTILE(Q8:EC8,2)</f>
        <v>12.76</v>
      </c>
      <c r="I8" s="44">
        <f>MIN(Q8:EC8)</f>
        <v>7</v>
      </c>
      <c r="J8" s="44">
        <f>MAX(Q8:EC8)</f>
        <v>22.1</v>
      </c>
      <c r="K8" s="44">
        <f>PERCENTILE(Q8:EC8,0.95)</f>
        <v>20.9</v>
      </c>
      <c r="L8" s="102" t="str">
        <f>IF(H8&lt;18,"A",IF(H8&lt;20,"B",IF(H8&lt;22,"C",IF(H8&lt;25,"D","E"))))</f>
        <v>A</v>
      </c>
      <c r="N8" s="116" t="s">
        <v>90</v>
      </c>
      <c r="O8" s="108"/>
      <c r="P8" t="s">
        <v>90</v>
      </c>
      <c r="Q8">
        <v>16.6</v>
      </c>
      <c r="R8">
        <v>22.1</v>
      </c>
      <c r="S8">
        <v>14.1</v>
      </c>
      <c r="T8">
        <v>9.8</v>
      </c>
      <c r="U8">
        <v>12.9</v>
      </c>
      <c r="V8">
        <v>12.76</v>
      </c>
      <c r="W8">
        <v>8.5</v>
      </c>
      <c r="X8">
        <v>12.5</v>
      </c>
      <c r="Y8">
        <v>16.6</v>
      </c>
      <c r="Z8">
        <v>11.2</v>
      </c>
      <c r="AA8">
        <v>9.4</v>
      </c>
      <c r="AB8">
        <v>13.7</v>
      </c>
      <c r="AC8">
        <v>17.7</v>
      </c>
      <c r="AD8">
        <v>11.6</v>
      </c>
      <c r="AE8">
        <v>7</v>
      </c>
      <c r="AF8">
        <v>20.9</v>
      </c>
      <c r="AG8">
        <v>20.9</v>
      </c>
      <c r="AH8">
        <v>12.6</v>
      </c>
      <c r="AI8">
        <v>10.17</v>
      </c>
      <c r="AJ8">
        <v>15.13</v>
      </c>
      <c r="AK8">
        <v>18.79</v>
      </c>
      <c r="AL8">
        <v>8.71</v>
      </c>
      <c r="AM8">
        <v>9</v>
      </c>
    </row>
    <row r="9" spans="2:39" ht="12.75">
      <c r="B9" s="71"/>
      <c r="C9" s="7" t="s">
        <v>9</v>
      </c>
      <c r="D9" s="81">
        <f>COUNT(Q9:EC9)</f>
        <v>23</v>
      </c>
      <c r="E9" s="44">
        <f>AVERAGE(Q9:EC9)</f>
        <v>108.64347826086956</v>
      </c>
      <c r="F9" s="44">
        <f t="shared" si="0"/>
        <v>2.973500631679082</v>
      </c>
      <c r="G9" s="44">
        <f>STDEV(Q9:EC9)</f>
        <v>7.275852095488031</v>
      </c>
      <c r="H9" s="44">
        <f>QUARTILE(Q9:EC9,2)</f>
        <v>107.3</v>
      </c>
      <c r="I9" s="44">
        <f>MIN(Q9:EC9)</f>
        <v>97.5</v>
      </c>
      <c r="J9" s="44">
        <f>MAX(Q9:EC9)</f>
        <v>124</v>
      </c>
      <c r="K9" s="44">
        <f>PERCENTILE(Q9:EC9,0.95)</f>
        <v>121.19</v>
      </c>
      <c r="L9" s="104" t="str">
        <f>IF(AND(99&lt;=H9,H9&lt;=103),"A",IF(AND(98&lt;=H9,H9&lt;=105),"B",IF(H9&gt;90,"C",IF(H9&gt;80,"D","E"))))</f>
        <v>C</v>
      </c>
      <c r="N9" s="116" t="s">
        <v>91</v>
      </c>
      <c r="O9" s="108"/>
      <c r="P9" t="s">
        <v>91</v>
      </c>
      <c r="Q9">
        <v>100.8</v>
      </c>
      <c r="R9">
        <v>106.8</v>
      </c>
      <c r="S9">
        <v>103.8</v>
      </c>
      <c r="T9">
        <v>97.5</v>
      </c>
      <c r="U9">
        <v>100.5</v>
      </c>
      <c r="V9">
        <v>112.8</v>
      </c>
      <c r="W9">
        <v>121.3</v>
      </c>
      <c r="X9">
        <v>107.3</v>
      </c>
      <c r="Y9">
        <v>109.4</v>
      </c>
      <c r="Z9">
        <v>102.9</v>
      </c>
      <c r="AA9">
        <v>114.6</v>
      </c>
      <c r="AB9">
        <v>104.7</v>
      </c>
      <c r="AC9">
        <v>107.4</v>
      </c>
      <c r="AD9">
        <v>102.1</v>
      </c>
      <c r="AE9">
        <v>103.2</v>
      </c>
      <c r="AF9">
        <v>105.7</v>
      </c>
      <c r="AG9">
        <v>124</v>
      </c>
      <c r="AH9">
        <v>113.3</v>
      </c>
      <c r="AI9">
        <v>120.2</v>
      </c>
      <c r="AJ9">
        <v>109.1</v>
      </c>
      <c r="AK9">
        <v>117.9</v>
      </c>
      <c r="AL9">
        <v>101.5</v>
      </c>
      <c r="AM9">
        <v>112</v>
      </c>
    </row>
    <row r="10" spans="2:39" ht="12.75">
      <c r="B10" s="71"/>
      <c r="C10" s="6" t="s">
        <v>10</v>
      </c>
      <c r="D10" s="81">
        <f>COUNT(Q10:EC10)</f>
        <v>23</v>
      </c>
      <c r="E10" s="44">
        <f>AVERAGE(Q10:EC10)</f>
        <v>11.378260869565217</v>
      </c>
      <c r="F10" s="44">
        <f t="shared" si="0"/>
        <v>0.510682451940107</v>
      </c>
      <c r="G10" s="44">
        <f>STDEV(Q10:EC10)</f>
        <v>1.2495877581096169</v>
      </c>
      <c r="H10" s="44">
        <f>QUARTILE(Q10:EC10,2)</f>
        <v>11.08</v>
      </c>
      <c r="I10" s="44">
        <f>MIN(Q10:EC10)</f>
        <v>9.32</v>
      </c>
      <c r="J10" s="44">
        <f>MAX(Q10:EC10)</f>
        <v>14.2</v>
      </c>
      <c r="K10" s="44">
        <f>PERCENTILE(Q10:EC10,0.95)</f>
        <v>13.472</v>
      </c>
      <c r="L10" s="102"/>
      <c r="N10" s="116" t="s">
        <v>92</v>
      </c>
      <c r="O10" s="108"/>
      <c r="P10" t="s">
        <v>92</v>
      </c>
      <c r="Q10">
        <v>9.93</v>
      </c>
      <c r="R10">
        <v>9.32</v>
      </c>
      <c r="S10">
        <v>10.7</v>
      </c>
      <c r="T10">
        <v>11.06</v>
      </c>
      <c r="U10">
        <v>10.59</v>
      </c>
      <c r="V10">
        <v>11.97</v>
      </c>
      <c r="W10">
        <v>14.2</v>
      </c>
      <c r="X10">
        <v>11.42</v>
      </c>
      <c r="Y10">
        <v>10.67</v>
      </c>
      <c r="Z10">
        <v>11.31</v>
      </c>
      <c r="AA10">
        <v>13.13</v>
      </c>
      <c r="AB10">
        <v>10.86</v>
      </c>
      <c r="AC10">
        <v>10.24</v>
      </c>
      <c r="AD10">
        <v>11.09</v>
      </c>
      <c r="AE10">
        <v>12.53</v>
      </c>
      <c r="AF10">
        <v>9.44</v>
      </c>
      <c r="AG10">
        <v>11.08</v>
      </c>
      <c r="AH10">
        <v>12.04</v>
      </c>
      <c r="AI10">
        <v>13.51</v>
      </c>
      <c r="AJ10">
        <v>10.86</v>
      </c>
      <c r="AK10">
        <v>10.95</v>
      </c>
      <c r="AL10">
        <v>11.85</v>
      </c>
      <c r="AM10">
        <v>12.95</v>
      </c>
    </row>
    <row r="11" spans="2:39" ht="12.75">
      <c r="B11" s="72"/>
      <c r="C11" s="95" t="s">
        <v>11</v>
      </c>
      <c r="D11" s="87">
        <f>COUNT(Q11:EC11)</f>
        <v>23</v>
      </c>
      <c r="E11" s="115">
        <f>AVERAGE(Q11:EC11)</f>
        <v>139.79565217391306</v>
      </c>
      <c r="F11" s="115">
        <f t="shared" si="0"/>
        <v>7.936402449758762</v>
      </c>
      <c r="G11" s="115">
        <f>STDEV(Q11:EC11)</f>
        <v>19.4195655381807</v>
      </c>
      <c r="H11" s="115">
        <f>QUARTILE(Q11:EC11,2)</f>
        <v>137</v>
      </c>
      <c r="I11" s="115">
        <f>MIN(Q11:EC11)</f>
        <v>103.7</v>
      </c>
      <c r="J11" s="115">
        <f>MAX(Q11:EC11)</f>
        <v>181.5</v>
      </c>
      <c r="K11" s="115">
        <f>PERCENTILE(Q11:EC11,0.95)</f>
        <v>167.7</v>
      </c>
      <c r="L11" s="105"/>
      <c r="N11" s="116" t="s">
        <v>93</v>
      </c>
      <c r="O11" s="108"/>
      <c r="P11" t="s">
        <v>93</v>
      </c>
      <c r="Q11">
        <v>149.9</v>
      </c>
      <c r="R11">
        <v>164.2</v>
      </c>
      <c r="S11">
        <v>181.5</v>
      </c>
      <c r="T11">
        <v>103.7</v>
      </c>
      <c r="U11">
        <v>116</v>
      </c>
      <c r="V11">
        <v>143</v>
      </c>
      <c r="W11">
        <v>136</v>
      </c>
      <c r="X11">
        <v>146</v>
      </c>
      <c r="Y11">
        <v>161</v>
      </c>
      <c r="Z11">
        <v>135</v>
      </c>
      <c r="AA11">
        <v>133</v>
      </c>
      <c r="AB11">
        <v>143</v>
      </c>
      <c r="AC11">
        <v>131</v>
      </c>
      <c r="AD11">
        <v>109</v>
      </c>
      <c r="AE11">
        <v>118</v>
      </c>
      <c r="AF11">
        <v>137</v>
      </c>
      <c r="AG11">
        <v>147</v>
      </c>
      <c r="AH11">
        <v>135</v>
      </c>
      <c r="AI11">
        <v>125</v>
      </c>
      <c r="AJ11">
        <v>168</v>
      </c>
      <c r="AK11">
        <v>165</v>
      </c>
      <c r="AL11">
        <v>127</v>
      </c>
      <c r="AM11">
        <v>141</v>
      </c>
    </row>
    <row r="12" spans="2:39" ht="12.75">
      <c r="B12" s="68" t="s">
        <v>105</v>
      </c>
      <c r="C12" s="4" t="s">
        <v>12</v>
      </c>
      <c r="D12" s="81">
        <f>COUNT(Q12:EC12)</f>
        <v>23</v>
      </c>
      <c r="E12" s="82">
        <f>AVERAGE(Q12:EC12)</f>
        <v>1.1752173913043478</v>
      </c>
      <c r="F12" s="82">
        <f t="shared" si="0"/>
        <v>0.33652179573483043</v>
      </c>
      <c r="G12" s="82">
        <f>STDEV(Q12:EC12)</f>
        <v>0.8234344350187837</v>
      </c>
      <c r="H12" s="82">
        <f>QUARTILE(Q12:EC12,2)</f>
        <v>1</v>
      </c>
      <c r="I12" s="82">
        <f>MIN(Q12:EC12)</f>
        <v>0.2</v>
      </c>
      <c r="J12" s="82">
        <f>MAX(Q12:EC12)</f>
        <v>3.89</v>
      </c>
      <c r="K12" s="82">
        <f>PERCENTILE(Q12:EC12,0.95)</f>
        <v>2.7399999999999984</v>
      </c>
      <c r="L12" s="102" t="str">
        <f>IF(H12&lt;1,"A",IF(H12&lt;2,"B",IF(H12&lt;3,"C",IF(H12&lt;5,"D","E"))))</f>
        <v>B</v>
      </c>
      <c r="N12" s="116" t="s">
        <v>94</v>
      </c>
      <c r="O12" s="108"/>
      <c r="P12" t="s">
        <v>94</v>
      </c>
      <c r="Q12">
        <v>1.33</v>
      </c>
      <c r="R12">
        <v>0.77</v>
      </c>
      <c r="S12">
        <v>0.47</v>
      </c>
      <c r="T12">
        <v>1.84</v>
      </c>
      <c r="U12">
        <v>1.18</v>
      </c>
      <c r="V12">
        <v>1.25</v>
      </c>
      <c r="W12">
        <v>1.62</v>
      </c>
      <c r="X12">
        <v>0.85</v>
      </c>
      <c r="Y12">
        <v>0.55</v>
      </c>
      <c r="Z12">
        <v>0.63</v>
      </c>
      <c r="AA12">
        <v>0.63</v>
      </c>
      <c r="AB12">
        <v>1</v>
      </c>
      <c r="AC12">
        <v>0.2</v>
      </c>
      <c r="AD12">
        <v>3.89</v>
      </c>
      <c r="AE12">
        <v>1.56</v>
      </c>
      <c r="AF12">
        <v>0.96</v>
      </c>
      <c r="AG12">
        <v>0.95</v>
      </c>
      <c r="AH12">
        <v>0.45</v>
      </c>
      <c r="AI12">
        <v>1.01</v>
      </c>
      <c r="AJ12">
        <v>0.45</v>
      </c>
      <c r="AK12">
        <v>1.21</v>
      </c>
      <c r="AL12">
        <v>1.39</v>
      </c>
      <c r="AM12">
        <v>2.84</v>
      </c>
    </row>
    <row r="13" spans="2:39" ht="12.75">
      <c r="B13" s="71"/>
      <c r="C13" s="6" t="s">
        <v>13</v>
      </c>
      <c r="D13" s="81">
        <f>COUNT(Q13:EC13)</f>
        <v>23</v>
      </c>
      <c r="E13" s="44">
        <f>AVERAGE(Q13:EC13)</f>
        <v>5.202173913043478</v>
      </c>
      <c r="F13" s="44">
        <f t="shared" si="0"/>
        <v>0.6150141624773767</v>
      </c>
      <c r="G13" s="44">
        <f>STDEV(Q13:EC13)</f>
        <v>1.5048767890420884</v>
      </c>
      <c r="H13" s="44">
        <f>QUARTILE(Q13:EC13,2)</f>
        <v>5.1</v>
      </c>
      <c r="I13" s="44">
        <f>MIN(Q13:EC13)</f>
        <v>2.1</v>
      </c>
      <c r="J13" s="44">
        <f>MAX(Q13:EC13)</f>
        <v>7.5</v>
      </c>
      <c r="K13" s="44">
        <f>PERCENTILE(Q13:EC13,0.95)</f>
        <v>7</v>
      </c>
      <c r="L13" s="102" t="str">
        <f>IF(H13&gt;6,"A",IF(H13&gt;4,"B",IF(H13&gt;2.5,"C",IF(H13&gt;0.6,"D","E"))))</f>
        <v>B</v>
      </c>
      <c r="N13" s="116" t="s">
        <v>13</v>
      </c>
      <c r="O13" s="108"/>
      <c r="P13" t="s">
        <v>13</v>
      </c>
      <c r="Q13">
        <v>6.1</v>
      </c>
      <c r="R13">
        <v>5</v>
      </c>
      <c r="S13">
        <v>7</v>
      </c>
      <c r="T13">
        <v>3.9</v>
      </c>
      <c r="U13">
        <v>3.85</v>
      </c>
      <c r="V13">
        <v>5.1</v>
      </c>
      <c r="W13">
        <v>3.1</v>
      </c>
      <c r="X13">
        <v>6.4</v>
      </c>
      <c r="Y13">
        <v>6.9</v>
      </c>
      <c r="Z13">
        <v>7</v>
      </c>
      <c r="AA13">
        <v>5.6</v>
      </c>
      <c r="AB13">
        <v>7</v>
      </c>
      <c r="AC13">
        <v>6.7</v>
      </c>
      <c r="AD13">
        <v>2.1</v>
      </c>
      <c r="AE13">
        <v>5.1</v>
      </c>
      <c r="AF13">
        <v>7.5</v>
      </c>
      <c r="AG13">
        <v>4.4</v>
      </c>
      <c r="AH13">
        <v>6.3</v>
      </c>
      <c r="AI13">
        <v>4.3</v>
      </c>
      <c r="AJ13">
        <v>4.6</v>
      </c>
      <c r="AK13">
        <v>4.2</v>
      </c>
      <c r="AL13">
        <v>2.9</v>
      </c>
      <c r="AM13">
        <v>4.6</v>
      </c>
    </row>
    <row r="14" spans="2:39" ht="12.75">
      <c r="B14" s="72"/>
      <c r="C14" s="95" t="s">
        <v>14</v>
      </c>
      <c r="D14" s="87">
        <f>COUNT(Q14:EC14)</f>
        <v>22</v>
      </c>
      <c r="E14" s="115">
        <f>AVERAGE(Q14:EC14)</f>
        <v>0.7318181818181819</v>
      </c>
      <c r="F14" s="115">
        <f t="shared" si="0"/>
        <v>0.15549052796133572</v>
      </c>
      <c r="G14" s="115">
        <f>STDEV(Q14:EC14)</f>
        <v>0.37210644103966206</v>
      </c>
      <c r="H14" s="115">
        <f>QUARTILE(Q14:EC14,2)</f>
        <v>0.7</v>
      </c>
      <c r="I14" s="115">
        <f>MIN(Q14:EC14)</f>
        <v>0.3</v>
      </c>
      <c r="J14" s="115">
        <f>MAX(Q14:EC14)</f>
        <v>2</v>
      </c>
      <c r="K14" s="115">
        <f>PERCENTILE(Q14:EC14,0.95)</f>
        <v>1</v>
      </c>
      <c r="L14" s="102"/>
      <c r="N14" s="116" t="s">
        <v>95</v>
      </c>
      <c r="O14" s="108"/>
      <c r="P14" t="s">
        <v>95</v>
      </c>
      <c r="Q14">
        <v>1</v>
      </c>
      <c r="R14">
        <v>1</v>
      </c>
      <c r="S14">
        <v>1</v>
      </c>
      <c r="U14">
        <v>0.7</v>
      </c>
      <c r="V14">
        <v>0.4</v>
      </c>
      <c r="W14">
        <v>1</v>
      </c>
      <c r="X14">
        <v>0.7</v>
      </c>
      <c r="Y14">
        <v>0.8</v>
      </c>
      <c r="Z14">
        <v>0.3</v>
      </c>
      <c r="AA14">
        <v>0.7</v>
      </c>
      <c r="AB14">
        <v>0.4</v>
      </c>
      <c r="AC14">
        <v>0.5</v>
      </c>
      <c r="AD14">
        <v>2</v>
      </c>
      <c r="AE14">
        <v>0.6</v>
      </c>
      <c r="AF14">
        <v>0.5</v>
      </c>
      <c r="AG14">
        <v>0.6</v>
      </c>
      <c r="AH14">
        <v>0.3</v>
      </c>
      <c r="AI14">
        <v>0.9</v>
      </c>
      <c r="AJ14">
        <v>0.8</v>
      </c>
      <c r="AK14">
        <v>0.4</v>
      </c>
      <c r="AL14">
        <v>0.5</v>
      </c>
      <c r="AM14">
        <v>1</v>
      </c>
    </row>
    <row r="15" spans="2:39" ht="12.75">
      <c r="B15" s="208" t="s">
        <v>267</v>
      </c>
      <c r="C15" s="8" t="s">
        <v>268</v>
      </c>
      <c r="D15" s="81">
        <f>COUNT(Q15:EC15)</f>
        <v>23</v>
      </c>
      <c r="E15" s="40">
        <f>AVERAGE(Q15:EC15)</f>
        <v>30.347826086956523</v>
      </c>
      <c r="F15" s="40">
        <f t="shared" si="0"/>
        <v>14.333310125137677</v>
      </c>
      <c r="G15" s="40">
        <f>STDEV(Q15:EC15)</f>
        <v>35.072144730089995</v>
      </c>
      <c r="H15" s="40">
        <f>QUARTILE(Q15:EC15,2)</f>
        <v>15</v>
      </c>
      <c r="I15" s="40">
        <f>MIN(Q15:EC15)</f>
        <v>5</v>
      </c>
      <c r="J15" s="40">
        <f>MAX(Q15:EC15)</f>
        <v>115</v>
      </c>
      <c r="K15" s="40">
        <f>PERCENTILE(Q15:EC15,0.95)</f>
        <v>99.5</v>
      </c>
      <c r="L15" s="106" t="str">
        <f>IF(H15&lt;10,"A",IF(H15&lt;130,"B",IF(H15&lt;260,"C",IF(H15&lt;550,"D","E"))))</f>
        <v>B</v>
      </c>
      <c r="N15" s="116" t="s">
        <v>255</v>
      </c>
      <c r="O15" s="108"/>
      <c r="P15" t="s">
        <v>255</v>
      </c>
      <c r="Q15">
        <v>5</v>
      </c>
      <c r="R15">
        <v>5</v>
      </c>
      <c r="S15">
        <v>35</v>
      </c>
      <c r="T15">
        <v>15</v>
      </c>
      <c r="U15">
        <v>20</v>
      </c>
      <c r="V15">
        <v>5</v>
      </c>
      <c r="W15">
        <v>10</v>
      </c>
      <c r="X15">
        <v>115</v>
      </c>
      <c r="Y15">
        <v>95</v>
      </c>
      <c r="Z15">
        <v>60</v>
      </c>
      <c r="AA15">
        <v>5</v>
      </c>
      <c r="AB15">
        <v>30</v>
      </c>
      <c r="AC15">
        <v>35</v>
      </c>
      <c r="AD15">
        <v>100</v>
      </c>
      <c r="AE15">
        <v>5</v>
      </c>
      <c r="AF15">
        <v>15</v>
      </c>
      <c r="AG15">
        <v>10</v>
      </c>
      <c r="AH15">
        <v>5</v>
      </c>
      <c r="AI15">
        <v>5</v>
      </c>
      <c r="AJ15">
        <v>13</v>
      </c>
      <c r="AK15">
        <v>20</v>
      </c>
      <c r="AL15">
        <v>85</v>
      </c>
      <c r="AM15">
        <v>5</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98.85183333333333</v>
      </c>
      <c r="F17" s="44">
        <f>CONFIDENCE(0.05,G17,D17)</f>
        <v>4.159321902215863</v>
      </c>
      <c r="G17" s="44">
        <f>STDEV(Q17:EC17)</f>
        <v>5.1981650768965775</v>
      </c>
      <c r="H17" s="44">
        <f>QUARTILE(Q17:EC17,2)</f>
        <v>100</v>
      </c>
      <c r="I17" s="44">
        <f>MIN(Q17:EC17)</f>
        <v>91.111</v>
      </c>
      <c r="J17" s="44">
        <f>MAX(Q17:EC17)</f>
        <v>106</v>
      </c>
      <c r="K17" s="44">
        <f>PERCENTILE(Q17:EC17,0.95)</f>
        <v>104.75</v>
      </c>
      <c r="L17" s="102" t="str">
        <f>IF(H17&gt;120,"A",IF(H17&gt;100,"B",IF(H17&gt;80,"C",IF(H17&gt;60,"D","E"))))</f>
        <v>C</v>
      </c>
      <c r="N17" s="116" t="s">
        <v>17</v>
      </c>
      <c r="O17" s="108"/>
      <c r="P17" t="s">
        <v>17</v>
      </c>
      <c r="Q17">
        <v>101</v>
      </c>
      <c r="U17">
        <v>106</v>
      </c>
      <c r="X17">
        <v>95</v>
      </c>
      <c r="AB17">
        <v>99</v>
      </c>
      <c r="AF17">
        <v>101</v>
      </c>
      <c r="AJ17">
        <v>91.111</v>
      </c>
    </row>
    <row r="18" spans="2:36" ht="12.75">
      <c r="B18" s="74"/>
      <c r="C18" s="96" t="s">
        <v>18</v>
      </c>
      <c r="D18" s="81">
        <f>COUNT(Q18:EC18)</f>
        <v>6</v>
      </c>
      <c r="E18" s="44">
        <f>AVERAGE(Q18:EC18)</f>
        <v>4.151166666666667</v>
      </c>
      <c r="F18" s="44">
        <f>CONFIDENCE(0.05,G18,D18)</f>
        <v>0.6583554552413974</v>
      </c>
      <c r="G18" s="44">
        <f>STDEV(Q18:EC18)</f>
        <v>0.8227880448005225</v>
      </c>
      <c r="H18" s="44">
        <f>QUARTILE(Q18:EC18,2)</f>
        <v>3.96</v>
      </c>
      <c r="I18" s="44">
        <f>MIN(Q18:EC18)</f>
        <v>3.34</v>
      </c>
      <c r="J18" s="44">
        <f>MAX(Q18:EC18)</f>
        <v>5.547</v>
      </c>
      <c r="K18" s="44">
        <f>PERCENTILE(Q18:EC18,0.95)</f>
        <v>5.295249999999999</v>
      </c>
      <c r="L18" s="105" t="str">
        <f>IF(H18&gt;6,"A",IF(H18&gt;5,"B",IF(H18&gt;4,"C",IF(H18&gt;3,"D","E"))))</f>
        <v>D</v>
      </c>
      <c r="N18" s="116" t="s">
        <v>18</v>
      </c>
      <c r="O18" s="108"/>
      <c r="P18" t="s">
        <v>18</v>
      </c>
      <c r="Q18">
        <v>4.54</v>
      </c>
      <c r="U18">
        <v>3.34</v>
      </c>
      <c r="X18">
        <v>4.28</v>
      </c>
      <c r="AB18">
        <v>3.56</v>
      </c>
      <c r="AF18">
        <v>3.64</v>
      </c>
      <c r="AJ18">
        <v>5.547</v>
      </c>
    </row>
    <row r="19" spans="2:36" ht="12.75">
      <c r="B19" s="71" t="s">
        <v>106</v>
      </c>
      <c r="C19" s="7" t="s">
        <v>19</v>
      </c>
      <c r="D19" s="86">
        <f>COUNT(Q19:EC19)</f>
        <v>6</v>
      </c>
      <c r="E19" s="113">
        <f>AVERAGE(Q19:EC19)</f>
        <v>7.2505</v>
      </c>
      <c r="F19" s="113">
        <f>CONFIDENCE(0.05,G19,D19)</f>
        <v>1.4787235527364424</v>
      </c>
      <c r="G19" s="113">
        <f>STDEV(Q19:EC19)</f>
        <v>1.8480534353746403</v>
      </c>
      <c r="H19" s="113">
        <f>QUARTILE(Q19:EC19,2)</f>
        <v>7.7015</v>
      </c>
      <c r="I19" s="113">
        <f>MIN(Q19:EC19)</f>
        <v>4.5</v>
      </c>
      <c r="J19" s="113">
        <f>MAX(Q19:EC19)</f>
        <v>9.6</v>
      </c>
      <c r="K19" s="113">
        <f>PERCENTILE(Q19:EC19,0.95)</f>
        <v>9.275</v>
      </c>
      <c r="L19" s="102" t="str">
        <f>IF(H19&gt;8,"A",IF(H19&gt;6,"B",IF(H19&gt;4,"C",IF(H19&gt;2,"D","E"))))</f>
        <v>B</v>
      </c>
      <c r="N19" s="116" t="s">
        <v>96</v>
      </c>
      <c r="O19" s="108"/>
      <c r="P19" t="s">
        <v>96</v>
      </c>
      <c r="R19">
        <v>8.3</v>
      </c>
      <c r="S19">
        <v>5.7</v>
      </c>
      <c r="X19">
        <v>4.5</v>
      </c>
      <c r="AB19">
        <v>7.9</v>
      </c>
      <c r="AF19">
        <v>9.6</v>
      </c>
      <c r="AJ19">
        <v>7.503</v>
      </c>
    </row>
    <row r="20" spans="2:36" ht="12.75">
      <c r="B20" s="72"/>
      <c r="C20" s="97" t="s">
        <v>122</v>
      </c>
      <c r="D20" s="87">
        <f>COUNT(Q20:EC20)</f>
        <v>4</v>
      </c>
      <c r="E20" s="114">
        <f>AVERAGE(Q20:EC20)</f>
        <v>0</v>
      </c>
      <c r="F20" s="114" t="e">
        <f>CONFIDENCE(0.05,G20,D20)</f>
        <v>#NUM!</v>
      </c>
      <c r="G20" s="114">
        <f>STDEV(Q20:EC20)</f>
        <v>0</v>
      </c>
      <c r="H20" s="114">
        <f>QUARTILE(Q20:EC20,2)</f>
        <v>0</v>
      </c>
      <c r="I20" s="114">
        <f>MIN(Q20:EC20)</f>
        <v>0</v>
      </c>
      <c r="J20" s="114">
        <f>MAX(Q20:EC20)</f>
        <v>0</v>
      </c>
      <c r="K20" s="114">
        <f>PERCENTILE(Q20:EC20,0.95)</f>
        <v>0</v>
      </c>
      <c r="L20" s="105"/>
      <c r="N20" s="116" t="s">
        <v>97</v>
      </c>
      <c r="O20" s="108"/>
      <c r="P20" t="s">
        <v>97</v>
      </c>
      <c r="X20">
        <v>0</v>
      </c>
      <c r="AB20">
        <v>0</v>
      </c>
      <c r="AF20">
        <v>0</v>
      </c>
      <c r="AJ20">
        <v>0</v>
      </c>
    </row>
    <row r="21" spans="2:15" ht="12.75">
      <c r="B21" s="71" t="s">
        <v>112</v>
      </c>
      <c r="C21" s="7" t="s">
        <v>21</v>
      </c>
      <c r="D21" s="81">
        <v>2</v>
      </c>
      <c r="E21" s="82">
        <v>0.375</v>
      </c>
      <c r="F21" s="82">
        <v>0.05</v>
      </c>
      <c r="G21" s="82">
        <v>0.7</v>
      </c>
      <c r="H21" s="82"/>
      <c r="I21" s="82">
        <v>0.05</v>
      </c>
      <c r="J21" s="82">
        <v>0.7</v>
      </c>
      <c r="K21" s="82"/>
      <c r="L21" s="169" t="str">
        <f>IF(E21&gt;=H34,"E","A - D")</f>
        <v>A - D</v>
      </c>
      <c r="O21" s="108"/>
    </row>
    <row r="22" spans="2:17" ht="12.75">
      <c r="B22" s="73" t="s">
        <v>111</v>
      </c>
      <c r="C22" s="9" t="s">
        <v>22</v>
      </c>
      <c r="D22" s="81">
        <v>2</v>
      </c>
      <c r="E22" s="82">
        <v>37.5</v>
      </c>
      <c r="F22" s="82">
        <v>37</v>
      </c>
      <c r="G22" s="82">
        <v>38</v>
      </c>
      <c r="H22" s="82"/>
      <c r="I22" s="82">
        <v>37</v>
      </c>
      <c r="J22" s="82">
        <v>38</v>
      </c>
      <c r="K22" s="82"/>
      <c r="L22" s="169" t="str">
        <f>IF(E22&gt;=H35,"E","A - D")</f>
        <v>A - D</v>
      </c>
      <c r="N22" s="111"/>
      <c r="O22" s="108"/>
      <c r="Q22" s="20"/>
    </row>
    <row r="23" spans="2:17" ht="12.75">
      <c r="B23" s="73"/>
      <c r="C23" s="9" t="s">
        <v>23</v>
      </c>
      <c r="D23" s="81">
        <v>2</v>
      </c>
      <c r="E23" s="82">
        <v>9</v>
      </c>
      <c r="F23" s="82">
        <v>6</v>
      </c>
      <c r="G23" s="82">
        <v>12</v>
      </c>
      <c r="H23" s="82"/>
      <c r="I23" s="82">
        <v>6</v>
      </c>
      <c r="J23" s="82">
        <v>12</v>
      </c>
      <c r="K23" s="82"/>
      <c r="L23" s="169" t="str">
        <f>IF(E23&gt;=H36,"E","A - D")</f>
        <v>A - D</v>
      </c>
      <c r="N23" s="111"/>
      <c r="O23" s="108"/>
      <c r="Q23" s="20"/>
    </row>
    <row r="24" spans="2:17" ht="12.75">
      <c r="B24" s="73"/>
      <c r="C24" s="9" t="s">
        <v>24</v>
      </c>
      <c r="D24" s="81">
        <v>2</v>
      </c>
      <c r="E24" s="82">
        <v>68.5</v>
      </c>
      <c r="F24" s="82">
        <v>55</v>
      </c>
      <c r="G24" s="82">
        <v>82</v>
      </c>
      <c r="H24" s="82"/>
      <c r="I24" s="82">
        <v>55</v>
      </c>
      <c r="J24" s="82">
        <v>82</v>
      </c>
      <c r="K24" s="82"/>
      <c r="L24" s="169" t="str">
        <f>IF(E24&gt;=H37,"E","A - D")</f>
        <v>A - D</v>
      </c>
      <c r="N24" s="111"/>
      <c r="O24" s="108"/>
      <c r="Q24" s="20"/>
    </row>
    <row r="25" spans="2:17" ht="13.5" thickBot="1">
      <c r="B25" s="75"/>
      <c r="C25" s="98"/>
      <c r="D25" s="83"/>
      <c r="E25" s="84"/>
      <c r="F25" s="84"/>
      <c r="G25" s="84"/>
      <c r="H25" s="84"/>
      <c r="I25" s="84"/>
      <c r="J25" s="84"/>
      <c r="K25" s="84"/>
      <c r="L25" s="91"/>
      <c r="O25" s="108"/>
      <c r="Q25" s="20"/>
    </row>
    <row r="26" spans="2:17" ht="12.75">
      <c r="B26" s="80"/>
      <c r="C26" s="89"/>
      <c r="D26" s="89"/>
      <c r="E26" s="89"/>
      <c r="F26" s="89"/>
      <c r="G26" s="89"/>
      <c r="H26" s="89"/>
      <c r="I26" s="89"/>
      <c r="J26" s="89"/>
      <c r="K26" s="89"/>
      <c r="L26" s="100"/>
      <c r="O26" s="108"/>
      <c r="Q26" s="20"/>
    </row>
    <row r="27" spans="2:17" ht="12.75">
      <c r="B27" s="210" t="s">
        <v>119</v>
      </c>
      <c r="C27" s="211"/>
      <c r="D27" s="211"/>
      <c r="E27" s="211"/>
      <c r="F27" s="211"/>
      <c r="G27" s="76" t="str">
        <f>'Combined Score Calcs'!Q10</f>
        <v>C</v>
      </c>
      <c r="H27" s="39"/>
      <c r="I27" s="39"/>
      <c r="J27" s="39"/>
      <c r="K27" s="99"/>
      <c r="L27" s="90"/>
      <c r="O27" s="108"/>
      <c r="Q27" s="20"/>
    </row>
    <row r="28" spans="2:17" ht="13.5" thickBot="1">
      <c r="B28" s="83"/>
      <c r="C28" s="84"/>
      <c r="D28" s="84"/>
      <c r="E28" s="84"/>
      <c r="F28" s="84"/>
      <c r="G28" s="84"/>
      <c r="H28" s="84"/>
      <c r="I28" s="84"/>
      <c r="J28" s="84"/>
      <c r="K28" s="84"/>
      <c r="L28" s="91"/>
      <c r="O28" s="108"/>
      <c r="Q28" s="20"/>
    </row>
    <row r="29" spans="12:17" ht="12.75">
      <c r="L29" s="60"/>
      <c r="O29" s="108"/>
      <c r="Q29" s="20"/>
    </row>
    <row r="30" ht="12.75">
      <c r="L30" s="60"/>
    </row>
    <row r="31" ht="12.75">
      <c r="L31" s="60"/>
    </row>
    <row r="32" ht="12.75">
      <c r="L32" s="60"/>
    </row>
    <row r="33" spans="7:12" ht="12.75">
      <c r="G33" t="s">
        <v>140</v>
      </c>
      <c r="H33" t="s">
        <v>141</v>
      </c>
      <c r="L33" s="60"/>
    </row>
    <row r="34" spans="5:12" ht="12.75">
      <c r="E34" s="158"/>
      <c r="F34" s="153"/>
      <c r="G34" s="118" t="s">
        <v>21</v>
      </c>
      <c r="H34" s="136">
        <v>1.5</v>
      </c>
      <c r="I34" s="137">
        <v>10</v>
      </c>
      <c r="J34" s="119"/>
      <c r="K34" s="119"/>
      <c r="L34" s="60"/>
    </row>
    <row r="35" spans="5:12" ht="12.75">
      <c r="E35" s="158"/>
      <c r="F35" s="153"/>
      <c r="G35" s="122" t="s">
        <v>22</v>
      </c>
      <c r="H35" s="137">
        <v>65</v>
      </c>
      <c r="I35" s="137">
        <v>270</v>
      </c>
      <c r="J35" s="119"/>
      <c r="K35" s="119"/>
      <c r="L35" s="60"/>
    </row>
    <row r="36" spans="5:12" ht="12.75">
      <c r="E36" s="158"/>
      <c r="F36" s="153"/>
      <c r="G36" s="122" t="s">
        <v>23</v>
      </c>
      <c r="H36" s="137">
        <v>50</v>
      </c>
      <c r="I36" s="137">
        <v>220</v>
      </c>
      <c r="J36" s="119"/>
      <c r="K36" s="119"/>
      <c r="L36" s="60"/>
    </row>
    <row r="37" spans="5:12" ht="12.75">
      <c r="E37" s="158"/>
      <c r="F37" s="153"/>
      <c r="G37" s="122" t="s">
        <v>24</v>
      </c>
      <c r="H37" s="137">
        <v>200</v>
      </c>
      <c r="I37" s="137">
        <v>210</v>
      </c>
      <c r="J37" s="119"/>
      <c r="K37" s="119"/>
      <c r="L37" s="60"/>
    </row>
    <row r="38" spans="7:12" ht="12.75">
      <c r="G38" s="122"/>
      <c r="H38" t="s">
        <v>137</v>
      </c>
      <c r="I38" t="s">
        <v>138</v>
      </c>
      <c r="L38" s="60"/>
    </row>
    <row r="39" ht="12.75">
      <c r="L39" s="60"/>
    </row>
    <row r="40" ht="12.75">
      <c r="L40" s="60"/>
    </row>
    <row r="41" spans="5:12" ht="12.75">
      <c r="E41" s="158"/>
      <c r="F41" s="153"/>
      <c r="G41" s="119"/>
      <c r="H41" s="119"/>
      <c r="I41" s="119"/>
      <c r="J41" s="119"/>
      <c r="K41" s="119"/>
      <c r="L41" s="60"/>
    </row>
    <row r="42" spans="5:12" ht="12.75">
      <c r="E42" s="158"/>
      <c r="F42" s="153"/>
      <c r="G42" s="119"/>
      <c r="H42" s="119"/>
      <c r="I42" s="119"/>
      <c r="J42" s="119"/>
      <c r="K42" s="119"/>
      <c r="L42" s="60"/>
    </row>
    <row r="43" spans="5:12" ht="12.75">
      <c r="E43" s="158"/>
      <c r="F43" s="153"/>
      <c r="G43" s="119"/>
      <c r="H43" s="119"/>
      <c r="I43" s="119"/>
      <c r="J43" s="119"/>
      <c r="K43" s="119"/>
      <c r="L43" s="60"/>
    </row>
    <row r="44" spans="5:12" ht="12.75">
      <c r="E44" s="158"/>
      <c r="F44" s="153"/>
      <c r="G44" s="119"/>
      <c r="H44" s="119"/>
      <c r="I44" s="119"/>
      <c r="J44" s="119"/>
      <c r="K44" s="119"/>
      <c r="L44" s="60"/>
    </row>
    <row r="45" spans="5:12" ht="12.75">
      <c r="E45" s="158"/>
      <c r="F45" s="153"/>
      <c r="G45" s="119"/>
      <c r="H45" s="119"/>
      <c r="I45" s="119"/>
      <c r="J45" s="119"/>
      <c r="K45" s="119"/>
      <c r="L45" s="60"/>
    </row>
    <row r="46" spans="5:12" ht="12.75">
      <c r="E46" s="158"/>
      <c r="F46" s="153"/>
      <c r="G46" s="119"/>
      <c r="H46" s="119"/>
      <c r="I46" s="119"/>
      <c r="J46" s="119"/>
      <c r="K46" s="119"/>
      <c r="L46" s="60"/>
    </row>
    <row r="47" ht="12.75">
      <c r="L47" s="60"/>
    </row>
  </sheetData>
  <mergeCells count="1">
    <mergeCell ref="B27:F27"/>
  </mergeCells>
  <printOptions/>
  <pageMargins left="0.75" right="0.75" top="1" bottom="1" header="0.5" footer="0.5"/>
  <pageSetup horizontalDpi="600" verticalDpi="600" orientation="portrait" paperSize="133" r:id="rId1"/>
</worksheet>
</file>

<file path=xl/worksheets/sheet17.xml><?xml version="1.0" encoding="utf-8"?>
<worksheet xmlns="http://schemas.openxmlformats.org/spreadsheetml/2006/main" xmlns:r="http://schemas.openxmlformats.org/officeDocument/2006/relationships">
  <dimension ref="B1:AQ47"/>
  <sheetViews>
    <sheetView workbookViewId="0" topLeftCell="A1">
      <selection activeCell="B3" sqref="B3:L28"/>
    </sheetView>
  </sheetViews>
  <sheetFormatPr defaultColWidth="9.140625" defaultRowHeight="12.75"/>
  <cols>
    <col min="3" max="3" width="28.7109375" style="0" bestFit="1" customWidth="1"/>
    <col min="14" max="14" width="34.140625" style="0" customWidth="1"/>
    <col min="16" max="16" width="33.57421875" style="0" customWidth="1"/>
    <col min="17" max="17" width="14.421875" style="0" bestFit="1" customWidth="1"/>
  </cols>
  <sheetData>
    <row r="1" spans="2:15" ht="15.75">
      <c r="B1" s="107" t="s">
        <v>149</v>
      </c>
      <c r="O1" s="109" t="s">
        <v>125</v>
      </c>
    </row>
    <row r="2" spans="12:39" ht="13.5" thickBot="1">
      <c r="L2" s="60"/>
      <c r="N2" s="116" t="s">
        <v>84</v>
      </c>
      <c r="O2" s="110"/>
      <c r="P2" t="s">
        <v>84</v>
      </c>
      <c r="Q2" t="s">
        <v>54</v>
      </c>
      <c r="R2" t="s">
        <v>54</v>
      </c>
      <c r="S2" t="s">
        <v>54</v>
      </c>
      <c r="T2" t="s">
        <v>54</v>
      </c>
      <c r="U2" t="s">
        <v>54</v>
      </c>
      <c r="V2" t="s">
        <v>54</v>
      </c>
      <c r="W2" t="s">
        <v>54</v>
      </c>
      <c r="X2" t="s">
        <v>54</v>
      </c>
      <c r="Y2" t="s">
        <v>54</v>
      </c>
      <c r="Z2" t="s">
        <v>54</v>
      </c>
      <c r="AA2" t="s">
        <v>54</v>
      </c>
      <c r="AB2" t="s">
        <v>54</v>
      </c>
      <c r="AC2" t="s">
        <v>54</v>
      </c>
      <c r="AD2" t="s">
        <v>54</v>
      </c>
      <c r="AE2" t="s">
        <v>54</v>
      </c>
      <c r="AF2" t="s">
        <v>54</v>
      </c>
      <c r="AG2" t="s">
        <v>54</v>
      </c>
      <c r="AH2" t="s">
        <v>54</v>
      </c>
      <c r="AI2" t="s">
        <v>54</v>
      </c>
      <c r="AJ2" t="s">
        <v>54</v>
      </c>
      <c r="AK2" t="s">
        <v>54</v>
      </c>
      <c r="AL2" t="s">
        <v>54</v>
      </c>
      <c r="AM2" t="s">
        <v>54</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36847.39236111111</v>
      </c>
      <c r="R3" s="64">
        <v>36923.57986111111</v>
      </c>
      <c r="S3" s="64">
        <v>37013.69097222222</v>
      </c>
      <c r="T3" s="64">
        <v>37112.6875</v>
      </c>
      <c r="U3" s="64">
        <v>37222.416666666664</v>
      </c>
      <c r="V3" s="64">
        <v>37383.572916666664</v>
      </c>
      <c r="W3" s="64">
        <v>37474.520833333336</v>
      </c>
      <c r="X3" s="64">
        <v>37586.427083333336</v>
      </c>
      <c r="Y3" s="64">
        <v>37648.506944444445</v>
      </c>
      <c r="Z3" s="64">
        <v>37746.583333333336</v>
      </c>
      <c r="AA3" s="64">
        <v>37837.52777777778</v>
      </c>
      <c r="AB3" s="64">
        <v>37950.375</v>
      </c>
      <c r="AC3" s="64">
        <v>38027.54861111111</v>
      </c>
      <c r="AD3" s="64">
        <v>38111.54861111111</v>
      </c>
      <c r="AE3" s="64">
        <v>38203.48541666667</v>
      </c>
      <c r="AF3" s="64">
        <v>38335.65625</v>
      </c>
      <c r="AG3" s="64">
        <v>38393.46527777778</v>
      </c>
      <c r="AH3" s="64">
        <v>38477.51597222222</v>
      </c>
      <c r="AI3" s="64">
        <v>38593.54791666667</v>
      </c>
      <c r="AJ3" s="64">
        <v>38679.368055555555</v>
      </c>
      <c r="AK3" s="64">
        <v>38776.529861111114</v>
      </c>
      <c r="AL3" s="64">
        <v>38869.49652777778</v>
      </c>
      <c r="AM3" s="64">
        <v>38960.493055555555</v>
      </c>
      <c r="AO3" s="64"/>
      <c r="AP3" s="64"/>
      <c r="AQ3" s="64"/>
    </row>
    <row r="4" spans="2:39" ht="12.75">
      <c r="B4" s="68" t="s">
        <v>103</v>
      </c>
      <c r="C4" s="93" t="s">
        <v>4</v>
      </c>
      <c r="D4" s="81">
        <f>COUNT(Q4:EC4)</f>
        <v>20</v>
      </c>
      <c r="E4" s="82">
        <f>AVERAGE(Q4:EC4)</f>
        <v>0.02040000000000001</v>
      </c>
      <c r="F4" s="82">
        <f aca="true" t="shared" si="0" ref="F4:F15">CONFIDENCE(0.05,G4,D4)</f>
        <v>0.005931927410004115</v>
      </c>
      <c r="G4" s="82">
        <f>STDEV(Q4:EC4)</f>
        <v>0.013535139452550892</v>
      </c>
      <c r="H4" s="82">
        <f>QUARTILE(Q4:EC4,2)</f>
        <v>0.0165</v>
      </c>
      <c r="I4" s="82">
        <f>MIN(Q4:EC4)</f>
        <v>0.005</v>
      </c>
      <c r="J4" s="82">
        <f>MAX(Q4:EC4)</f>
        <v>0.061</v>
      </c>
      <c r="K4" s="82">
        <f>PERCENTILE(Q4:EC4,0.95)</f>
        <v>0.042000000000000016</v>
      </c>
      <c r="L4" s="102" t="str">
        <f>IF((H4+H5)&lt;0.08,"A",IF((H4+H5)&lt;0.12,"B",IF((H4+H5)&lt;0.295,"C",IF((H4+H5)&lt;0.444,"D","E"))))</f>
        <v>A</v>
      </c>
      <c r="N4" s="116" t="s">
        <v>86</v>
      </c>
      <c r="O4" s="108"/>
      <c r="P4" t="s">
        <v>86</v>
      </c>
      <c r="R4">
        <v>0.02</v>
      </c>
      <c r="S4">
        <v>0.02</v>
      </c>
      <c r="V4">
        <v>0.016</v>
      </c>
      <c r="W4">
        <v>0.061</v>
      </c>
      <c r="X4">
        <v>0.009</v>
      </c>
      <c r="Y4">
        <v>0.005</v>
      </c>
      <c r="Z4">
        <v>0.016</v>
      </c>
      <c r="AA4">
        <v>0.029</v>
      </c>
      <c r="AB4">
        <v>0.012</v>
      </c>
      <c r="AC4">
        <v>0.015</v>
      </c>
      <c r="AD4">
        <v>0.011</v>
      </c>
      <c r="AE4">
        <v>0.041</v>
      </c>
      <c r="AF4">
        <v>0.007</v>
      </c>
      <c r="AG4">
        <v>0.007</v>
      </c>
      <c r="AH4">
        <v>0.019</v>
      </c>
      <c r="AI4">
        <v>0.032</v>
      </c>
      <c r="AJ4">
        <v>0.016</v>
      </c>
      <c r="AK4">
        <v>0.017</v>
      </c>
      <c r="AL4">
        <v>0.035</v>
      </c>
      <c r="AM4">
        <v>0.02</v>
      </c>
    </row>
    <row r="5" spans="2:39" ht="12.75">
      <c r="B5" s="69"/>
      <c r="C5" s="5" t="s">
        <v>5</v>
      </c>
      <c r="D5" s="73">
        <f>COUNT(Q5:EC5)</f>
        <v>18</v>
      </c>
      <c r="E5" s="112">
        <f>AVERAGE(Q5:EC5)</f>
        <v>0.006111111111111112</v>
      </c>
      <c r="F5" s="112">
        <f t="shared" si="0"/>
        <v>0.0014512913163247244</v>
      </c>
      <c r="G5" s="112">
        <f>STDEV(Q5:EC5)</f>
        <v>0.003141541189567888</v>
      </c>
      <c r="H5" s="112">
        <f>QUARTILE(Q5:EC5,2)</f>
        <v>0.005</v>
      </c>
      <c r="I5" s="112">
        <f>MIN(Q5:EC5)</f>
        <v>0.005</v>
      </c>
      <c r="J5" s="112">
        <f>MAX(Q5:EC5)</f>
        <v>0.018</v>
      </c>
      <c r="K5" s="112">
        <f>PERCENTILE(Q5:EC5,0.95)</f>
        <v>0.010349999999999986</v>
      </c>
      <c r="L5" s="102"/>
      <c r="N5" s="116" t="s">
        <v>87</v>
      </c>
      <c r="O5" s="108"/>
      <c r="P5" t="s">
        <v>87</v>
      </c>
      <c r="V5">
        <v>0.005</v>
      </c>
      <c r="W5">
        <v>0.009</v>
      </c>
      <c r="X5">
        <v>0.007</v>
      </c>
      <c r="Y5">
        <v>0.005</v>
      </c>
      <c r="Z5">
        <v>0.006</v>
      </c>
      <c r="AA5">
        <v>0.005</v>
      </c>
      <c r="AB5">
        <v>0.005</v>
      </c>
      <c r="AC5">
        <v>0.005</v>
      </c>
      <c r="AD5">
        <v>0.005</v>
      </c>
      <c r="AE5">
        <v>0.005</v>
      </c>
      <c r="AF5">
        <v>0.005</v>
      </c>
      <c r="AG5">
        <v>0.005</v>
      </c>
      <c r="AH5">
        <v>0.005</v>
      </c>
      <c r="AI5">
        <v>0.005</v>
      </c>
      <c r="AJ5">
        <v>0.018</v>
      </c>
      <c r="AK5">
        <v>0.005</v>
      </c>
      <c r="AL5">
        <v>0.005</v>
      </c>
      <c r="AM5">
        <v>0.005</v>
      </c>
    </row>
    <row r="6" spans="2:39" ht="12.75">
      <c r="B6" s="70"/>
      <c r="C6" s="94" t="s">
        <v>6</v>
      </c>
      <c r="D6" s="73">
        <f>COUNT(Q6:EC6)</f>
        <v>23</v>
      </c>
      <c r="E6" s="112">
        <f>AVERAGE(Q6:EC6)</f>
        <v>0.005173913043478262</v>
      </c>
      <c r="F6" s="112">
        <f t="shared" si="0"/>
        <v>0.0007561063030344473</v>
      </c>
      <c r="G6" s="112">
        <f>STDEV(Q6:EC6)</f>
        <v>0.0018501148345942667</v>
      </c>
      <c r="H6" s="112">
        <f>QUARTILE(Q6:EC6,2)</f>
        <v>0.005</v>
      </c>
      <c r="I6" s="112">
        <f>MIN(Q6:EC6)</f>
        <v>0.002</v>
      </c>
      <c r="J6" s="112">
        <f>MAX(Q6:EC6)</f>
        <v>0.01</v>
      </c>
      <c r="K6" s="112">
        <f>PERCENTILE(Q6:EC6,0.95)</f>
        <v>0.008</v>
      </c>
      <c r="L6" s="102" t="str">
        <f>IF((H6)&lt;0.005,"A",IF((H6)&lt;0.008,"B",IF((H6)&lt;0.026,"C",IF((H6)&lt;0.05,"D","E"))))</f>
        <v>B</v>
      </c>
      <c r="N6" s="116" t="s">
        <v>88</v>
      </c>
      <c r="O6" s="108"/>
      <c r="P6" t="s">
        <v>88</v>
      </c>
      <c r="Q6">
        <v>0.005</v>
      </c>
      <c r="R6">
        <v>0.005</v>
      </c>
      <c r="S6">
        <v>0.008</v>
      </c>
      <c r="T6">
        <v>0.008</v>
      </c>
      <c r="U6">
        <v>0.005</v>
      </c>
      <c r="V6">
        <v>0.005</v>
      </c>
      <c r="W6">
        <v>0.005</v>
      </c>
      <c r="X6">
        <v>0.005</v>
      </c>
      <c r="Y6">
        <v>0.006</v>
      </c>
      <c r="Z6">
        <v>0.005</v>
      </c>
      <c r="AA6">
        <v>0.006</v>
      </c>
      <c r="AB6">
        <v>0.005</v>
      </c>
      <c r="AC6">
        <v>0.005</v>
      </c>
      <c r="AD6">
        <v>0.004</v>
      </c>
      <c r="AE6">
        <v>0.007</v>
      </c>
      <c r="AF6">
        <v>0.004</v>
      </c>
      <c r="AG6">
        <v>0.01</v>
      </c>
      <c r="AH6">
        <v>0.002</v>
      </c>
      <c r="AI6">
        <v>0.004</v>
      </c>
      <c r="AJ6">
        <v>0.004</v>
      </c>
      <c r="AK6">
        <v>0.003</v>
      </c>
      <c r="AL6">
        <v>0.006</v>
      </c>
      <c r="AM6">
        <v>0.002</v>
      </c>
    </row>
    <row r="7" spans="2:39" ht="12.75">
      <c r="B7" s="71" t="s">
        <v>104</v>
      </c>
      <c r="C7" s="6" t="s">
        <v>7</v>
      </c>
      <c r="D7" s="86">
        <f>COUNT(Q7:EC7)</f>
        <v>22</v>
      </c>
      <c r="E7" s="113">
        <f>AVERAGE(Q7:EC7)</f>
        <v>7.993181818181819</v>
      </c>
      <c r="F7" s="113">
        <f t="shared" si="0"/>
        <v>0.17850247091611185</v>
      </c>
      <c r="G7" s="113">
        <f>STDEV(Q7:EC7)</f>
        <v>0.4271766263852203</v>
      </c>
      <c r="H7" s="113">
        <f>QUARTILE(Q7:EC7,2)</f>
        <v>8.04</v>
      </c>
      <c r="I7" s="113">
        <f>MIN(Q7:EC7)</f>
        <v>7.08</v>
      </c>
      <c r="J7" s="113">
        <f>MAX(Q7:EC7)</f>
        <v>8.8</v>
      </c>
      <c r="K7" s="113">
        <f>PERCENTILE(Q7:EC7,0.95)</f>
        <v>8.590499999999999</v>
      </c>
      <c r="L7" s="103" t="str">
        <f>IF(AND(7.2&lt;H7,H7&lt;9),"A",IF(AND(7.2&lt;=H7,H7&lt;=9),"B",IF(AND(6.5&lt;=H7,H7&lt;=9),"C",IF(AND(6.5&lt;=H7,H7&lt;=10),"D","E"))))</f>
        <v>A</v>
      </c>
      <c r="N7" s="116" t="s">
        <v>89</v>
      </c>
      <c r="O7" s="108"/>
      <c r="P7" t="s">
        <v>89</v>
      </c>
      <c r="R7">
        <v>8.6</v>
      </c>
      <c r="S7">
        <v>8.8</v>
      </c>
      <c r="T7">
        <v>8.16</v>
      </c>
      <c r="U7">
        <v>8.32</v>
      </c>
      <c r="V7">
        <v>7.55</v>
      </c>
      <c r="W7">
        <v>8.33</v>
      </c>
      <c r="X7">
        <v>8.24</v>
      </c>
      <c r="Y7">
        <v>8.41</v>
      </c>
      <c r="Z7">
        <v>8.19</v>
      </c>
      <c r="AA7">
        <v>7.78</v>
      </c>
      <c r="AB7">
        <v>8.18</v>
      </c>
      <c r="AC7">
        <v>7.82</v>
      </c>
      <c r="AD7">
        <v>7.56</v>
      </c>
      <c r="AE7">
        <v>7.79</v>
      </c>
      <c r="AF7">
        <v>7.98</v>
      </c>
      <c r="AG7">
        <v>7.98</v>
      </c>
      <c r="AH7">
        <v>7.59</v>
      </c>
      <c r="AI7">
        <v>7.93</v>
      </c>
      <c r="AJ7">
        <v>7.08</v>
      </c>
      <c r="AK7">
        <v>7.18</v>
      </c>
      <c r="AL7">
        <v>8.1</v>
      </c>
      <c r="AM7">
        <v>8.28</v>
      </c>
    </row>
    <row r="8" spans="2:39" ht="12.75">
      <c r="B8" s="71"/>
      <c r="C8" s="6" t="s">
        <v>8</v>
      </c>
      <c r="D8" s="81">
        <f>COUNT(Q8:EC8)</f>
        <v>22</v>
      </c>
      <c r="E8" s="44">
        <f>AVERAGE(Q8:EC8)</f>
        <v>11.527272727272724</v>
      </c>
      <c r="F8" s="44">
        <f t="shared" si="0"/>
        <v>1.4444904586502907</v>
      </c>
      <c r="G8" s="44">
        <f>STDEV(Q8:EC8)</f>
        <v>3.456829240542322</v>
      </c>
      <c r="H8" s="44">
        <f>QUARTILE(Q8:EC8,2)</f>
        <v>11.34</v>
      </c>
      <c r="I8" s="44">
        <f>MIN(Q8:EC8)</f>
        <v>5.6</v>
      </c>
      <c r="J8" s="44">
        <f>MAX(Q8:EC8)</f>
        <v>18.4</v>
      </c>
      <c r="K8" s="44">
        <f>PERCENTILE(Q8:EC8,0.95)</f>
        <v>17.619999999999997</v>
      </c>
      <c r="L8" s="102" t="str">
        <f>IF(H8&lt;18,"A",IF(H8&lt;20,"B",IF(H8&lt;22,"C",IF(H8&lt;25,"D","E"))))</f>
        <v>A</v>
      </c>
      <c r="N8" s="116" t="s">
        <v>90</v>
      </c>
      <c r="O8" s="108"/>
      <c r="P8" t="s">
        <v>90</v>
      </c>
      <c r="R8">
        <v>18.4</v>
      </c>
      <c r="S8">
        <v>14.8</v>
      </c>
      <c r="T8">
        <v>9.5</v>
      </c>
      <c r="U8">
        <v>11.8</v>
      </c>
      <c r="V8">
        <v>11.18</v>
      </c>
      <c r="W8">
        <v>7.4</v>
      </c>
      <c r="X8">
        <v>12.1</v>
      </c>
      <c r="Y8">
        <v>13.8</v>
      </c>
      <c r="Z8">
        <v>10.6</v>
      </c>
      <c r="AA8">
        <v>8.1</v>
      </c>
      <c r="AB8">
        <v>11.7</v>
      </c>
      <c r="AC8">
        <v>14.7</v>
      </c>
      <c r="AD8">
        <v>10.3</v>
      </c>
      <c r="AE8">
        <v>5.6</v>
      </c>
      <c r="AF8">
        <v>17.7</v>
      </c>
      <c r="AG8">
        <v>16.1</v>
      </c>
      <c r="AH8">
        <v>10.7</v>
      </c>
      <c r="AI8">
        <v>8.95</v>
      </c>
      <c r="AJ8">
        <v>11.5</v>
      </c>
      <c r="AK8">
        <v>13.93</v>
      </c>
      <c r="AL8">
        <v>7.64</v>
      </c>
      <c r="AM8">
        <v>7.1</v>
      </c>
    </row>
    <row r="9" spans="2:39" ht="12.75">
      <c r="B9" s="71"/>
      <c r="C9" s="7" t="s">
        <v>9</v>
      </c>
      <c r="D9" s="81">
        <f>COUNT(Q9:EC9)</f>
        <v>22</v>
      </c>
      <c r="E9" s="44">
        <f>AVERAGE(Q9:EC9)</f>
        <v>103.56363636363636</v>
      </c>
      <c r="F9" s="44">
        <f t="shared" si="0"/>
        <v>2.006234041523905</v>
      </c>
      <c r="G9" s="44">
        <f>STDEV(Q9:EC9)</f>
        <v>4.801145245771566</v>
      </c>
      <c r="H9" s="44">
        <f>QUARTILE(Q9:EC9,2)</f>
        <v>102.7</v>
      </c>
      <c r="I9" s="44">
        <f>MIN(Q9:EC9)</f>
        <v>97.4</v>
      </c>
      <c r="J9" s="44">
        <f>MAX(Q9:EC9)</f>
        <v>115.2</v>
      </c>
      <c r="K9" s="44">
        <f>PERCENTILE(Q9:EC9,0.95)</f>
        <v>110.63</v>
      </c>
      <c r="L9" s="104" t="str">
        <f>IF(AND(99&lt;=H9,H9&lt;=103),"A",IF(AND(98&lt;=H9,H9&lt;=105),"B",IF(H9&gt;90,"C",IF(H9&gt;80,"D","E"))))</f>
        <v>A</v>
      </c>
      <c r="N9" s="116" t="s">
        <v>91</v>
      </c>
      <c r="O9" s="108"/>
      <c r="P9" t="s">
        <v>91</v>
      </c>
      <c r="R9">
        <v>105.2</v>
      </c>
      <c r="S9">
        <v>97.6</v>
      </c>
      <c r="T9">
        <v>97.9</v>
      </c>
      <c r="U9">
        <v>99.7</v>
      </c>
      <c r="V9">
        <v>106.5</v>
      </c>
      <c r="W9">
        <v>107.4</v>
      </c>
      <c r="X9">
        <v>109.3</v>
      </c>
      <c r="Y9">
        <v>110.7</v>
      </c>
      <c r="Z9">
        <v>101.8</v>
      </c>
      <c r="AA9">
        <v>102.2</v>
      </c>
      <c r="AB9">
        <v>100.9</v>
      </c>
      <c r="AC9">
        <v>103.2</v>
      </c>
      <c r="AD9">
        <v>99.5</v>
      </c>
      <c r="AE9">
        <v>98.7</v>
      </c>
      <c r="AF9">
        <v>105.9</v>
      </c>
      <c r="AG9">
        <v>115.2</v>
      </c>
      <c r="AH9">
        <v>105.4</v>
      </c>
      <c r="AI9">
        <v>108.5</v>
      </c>
      <c r="AJ9">
        <v>97.4</v>
      </c>
      <c r="AK9">
        <v>105</v>
      </c>
      <c r="AL9">
        <v>98.2</v>
      </c>
      <c r="AM9">
        <v>102.2</v>
      </c>
    </row>
    <row r="10" spans="2:39" ht="12.75">
      <c r="B10" s="71"/>
      <c r="C10" s="6" t="s">
        <v>10</v>
      </c>
      <c r="D10" s="81">
        <f>COUNT(Q10:EC10)</f>
        <v>22</v>
      </c>
      <c r="E10" s="44">
        <f>AVERAGE(Q10:EC10)</f>
        <v>11.307727272727272</v>
      </c>
      <c r="F10" s="44">
        <f t="shared" si="0"/>
        <v>0.3649617330261447</v>
      </c>
      <c r="G10" s="44">
        <f>STDEV(Q10:EC10)</f>
        <v>0.8733947551184287</v>
      </c>
      <c r="H10" s="44">
        <f>QUARTILE(Q10:EC10,2)</f>
        <v>11.33</v>
      </c>
      <c r="I10" s="44">
        <f>MIN(Q10:EC10)</f>
        <v>9.65</v>
      </c>
      <c r="J10" s="44">
        <f>MAX(Q10:EC10)</f>
        <v>12.89</v>
      </c>
      <c r="K10" s="44">
        <f>PERCENTILE(Q10:EC10,0.95)</f>
        <v>12.5615</v>
      </c>
      <c r="L10" s="102"/>
      <c r="N10" s="116" t="s">
        <v>92</v>
      </c>
      <c r="O10" s="108"/>
      <c r="P10" t="s">
        <v>92</v>
      </c>
      <c r="R10">
        <v>9.88</v>
      </c>
      <c r="S10">
        <v>9.65</v>
      </c>
      <c r="T10">
        <v>11.03</v>
      </c>
      <c r="U10">
        <v>10.77</v>
      </c>
      <c r="V10">
        <v>11.67</v>
      </c>
      <c r="W10">
        <v>12.89</v>
      </c>
      <c r="X10">
        <v>11.77</v>
      </c>
      <c r="Y10">
        <v>11.47</v>
      </c>
      <c r="Z10">
        <v>11.31</v>
      </c>
      <c r="AA10">
        <v>12.08</v>
      </c>
      <c r="AB10">
        <v>10.95</v>
      </c>
      <c r="AC10">
        <v>10.47</v>
      </c>
      <c r="AD10">
        <v>11.15</v>
      </c>
      <c r="AE10">
        <v>12.4</v>
      </c>
      <c r="AF10">
        <v>10.07</v>
      </c>
      <c r="AG10">
        <v>11.35</v>
      </c>
      <c r="AH10">
        <v>11.7</v>
      </c>
      <c r="AI10">
        <v>12.57</v>
      </c>
      <c r="AJ10">
        <v>10.61</v>
      </c>
      <c r="AK10">
        <v>10.83</v>
      </c>
      <c r="AL10">
        <v>11.78</v>
      </c>
      <c r="AM10">
        <v>12.37</v>
      </c>
    </row>
    <row r="11" spans="2:39" ht="12.75">
      <c r="B11" s="72"/>
      <c r="C11" s="95" t="s">
        <v>11</v>
      </c>
      <c r="D11" s="87">
        <f>COUNT(Q11:EC11)</f>
        <v>22</v>
      </c>
      <c r="E11" s="115">
        <f>AVERAGE(Q11:EC11)</f>
        <v>151.64090909090908</v>
      </c>
      <c r="F11" s="115">
        <f t="shared" si="0"/>
        <v>8.169122606876272</v>
      </c>
      <c r="G11" s="115">
        <f>STDEV(Q11:EC11)</f>
        <v>19.54963546343639</v>
      </c>
      <c r="H11" s="115">
        <f>QUARTILE(Q11:EC11,2)</f>
        <v>154.5</v>
      </c>
      <c r="I11" s="115">
        <f>MIN(Q11:EC11)</f>
        <v>109</v>
      </c>
      <c r="J11" s="115">
        <f>MAX(Q11:EC11)</f>
        <v>186.1</v>
      </c>
      <c r="K11" s="115">
        <f>PERCENTILE(Q11:EC11,0.95)</f>
        <v>170.95</v>
      </c>
      <c r="L11" s="105"/>
      <c r="N11" s="116" t="s">
        <v>93</v>
      </c>
      <c r="O11" s="108"/>
      <c r="P11" t="s">
        <v>93</v>
      </c>
      <c r="R11">
        <v>166.3</v>
      </c>
      <c r="S11">
        <v>186.1</v>
      </c>
      <c r="T11">
        <v>110.2</v>
      </c>
      <c r="U11">
        <v>127.5</v>
      </c>
      <c r="V11">
        <v>163</v>
      </c>
      <c r="W11">
        <v>150</v>
      </c>
      <c r="X11">
        <v>160</v>
      </c>
      <c r="Y11">
        <v>168</v>
      </c>
      <c r="Z11">
        <v>143</v>
      </c>
      <c r="AA11">
        <v>152</v>
      </c>
      <c r="AB11">
        <v>163</v>
      </c>
      <c r="AC11">
        <v>144</v>
      </c>
      <c r="AD11">
        <v>109</v>
      </c>
      <c r="AE11">
        <v>136</v>
      </c>
      <c r="AF11">
        <v>168</v>
      </c>
      <c r="AG11">
        <v>164</v>
      </c>
      <c r="AH11">
        <v>171</v>
      </c>
      <c r="AI11">
        <v>136</v>
      </c>
      <c r="AJ11">
        <v>170</v>
      </c>
      <c r="AK11">
        <v>155</v>
      </c>
      <c r="AL11">
        <v>140</v>
      </c>
      <c r="AM11">
        <v>154</v>
      </c>
    </row>
    <row r="12" spans="2:39" ht="12.75">
      <c r="B12" s="68" t="s">
        <v>105</v>
      </c>
      <c r="C12" s="4" t="s">
        <v>12</v>
      </c>
      <c r="D12" s="81">
        <f>COUNT(Q12:EC12)</f>
        <v>23</v>
      </c>
      <c r="E12" s="82">
        <f>AVERAGE(Q12:EC12)</f>
        <v>1.0139130434782608</v>
      </c>
      <c r="F12" s="82">
        <f t="shared" si="0"/>
        <v>0.4647159914369968</v>
      </c>
      <c r="G12" s="82">
        <f>STDEV(Q12:EC12)</f>
        <v>1.13711252793458</v>
      </c>
      <c r="H12" s="82">
        <f>QUARTILE(Q12:EC12,2)</f>
        <v>0.7</v>
      </c>
      <c r="I12" s="82">
        <f>MIN(Q12:EC12)</f>
        <v>0.2</v>
      </c>
      <c r="J12" s="82">
        <f>MAX(Q12:EC12)</f>
        <v>5.78</v>
      </c>
      <c r="K12" s="82">
        <f>PERCENTILE(Q12:EC12,0.95)</f>
        <v>1.9769999999999996</v>
      </c>
      <c r="L12" s="102" t="str">
        <f>IF(H12&lt;1,"A",IF(H12&lt;2,"B",IF(H12&lt;3,"C",IF(H12&lt;5,"D","E"))))</f>
        <v>A</v>
      </c>
      <c r="N12" s="116" t="s">
        <v>94</v>
      </c>
      <c r="O12" s="108"/>
      <c r="P12" t="s">
        <v>94</v>
      </c>
      <c r="Q12">
        <v>0.88</v>
      </c>
      <c r="R12">
        <v>0.85</v>
      </c>
      <c r="S12">
        <v>1.77</v>
      </c>
      <c r="T12">
        <v>1.71</v>
      </c>
      <c r="U12">
        <v>0.67</v>
      </c>
      <c r="V12">
        <v>0.84</v>
      </c>
      <c r="W12">
        <v>0.6</v>
      </c>
      <c r="X12">
        <v>0.33</v>
      </c>
      <c r="Y12">
        <v>0.52</v>
      </c>
      <c r="Z12">
        <v>0.7</v>
      </c>
      <c r="AA12">
        <v>0.4</v>
      </c>
      <c r="AB12">
        <v>0.44</v>
      </c>
      <c r="AC12">
        <v>0.2</v>
      </c>
      <c r="AD12">
        <v>2</v>
      </c>
      <c r="AE12">
        <v>0.74</v>
      </c>
      <c r="AF12">
        <v>0.65</v>
      </c>
      <c r="AG12">
        <v>0.71</v>
      </c>
      <c r="AH12">
        <v>0.41</v>
      </c>
      <c r="AI12">
        <v>0.64</v>
      </c>
      <c r="AJ12">
        <v>0.45</v>
      </c>
      <c r="AK12">
        <v>5.78</v>
      </c>
      <c r="AL12">
        <v>0.88</v>
      </c>
      <c r="AM12">
        <v>1.15</v>
      </c>
    </row>
    <row r="13" spans="2:39" ht="12.75">
      <c r="B13" s="71"/>
      <c r="C13" s="6" t="s">
        <v>13</v>
      </c>
      <c r="D13" s="81">
        <f>COUNT(Q13:EC13)</f>
        <v>23</v>
      </c>
      <c r="E13" s="44">
        <f>AVERAGE(Q13:EC13)</f>
        <v>7.197826086956522</v>
      </c>
      <c r="F13" s="44">
        <f t="shared" si="0"/>
        <v>1.1994762091422524</v>
      </c>
      <c r="G13" s="44">
        <f>STDEV(Q13:EC13)</f>
        <v>2.93499567371795</v>
      </c>
      <c r="H13" s="44">
        <f>QUARTILE(Q13:EC13,2)</f>
        <v>7.2</v>
      </c>
      <c r="I13" s="44">
        <f>MIN(Q13:EC13)</f>
        <v>1.2</v>
      </c>
      <c r="J13" s="44">
        <f>MAX(Q13:EC13)</f>
        <v>12</v>
      </c>
      <c r="K13" s="44">
        <f>PERCENTILE(Q13:EC13,0.95)</f>
        <v>11.629999999999999</v>
      </c>
      <c r="L13" s="102" t="str">
        <f>IF(H13&gt;6,"A",IF(H13&gt;4,"B",IF(H13&gt;2.5,"C",IF(H13&gt;0.6,"D","E"))))</f>
        <v>A</v>
      </c>
      <c r="N13" s="116" t="s">
        <v>13</v>
      </c>
      <c r="O13" s="108"/>
      <c r="P13" t="s">
        <v>13</v>
      </c>
      <c r="Q13">
        <v>3.9</v>
      </c>
      <c r="R13">
        <v>7.8</v>
      </c>
      <c r="S13">
        <v>2.2</v>
      </c>
      <c r="T13">
        <v>4.4</v>
      </c>
      <c r="U13">
        <v>6.2</v>
      </c>
      <c r="V13">
        <v>10.45</v>
      </c>
      <c r="W13">
        <v>7.2</v>
      </c>
      <c r="X13">
        <v>9</v>
      </c>
      <c r="Y13">
        <v>7</v>
      </c>
      <c r="Z13">
        <v>7</v>
      </c>
      <c r="AA13">
        <v>11</v>
      </c>
      <c r="AB13">
        <v>12</v>
      </c>
      <c r="AC13">
        <v>7.3</v>
      </c>
      <c r="AD13">
        <v>2.8</v>
      </c>
      <c r="AE13">
        <v>7.5</v>
      </c>
      <c r="AF13">
        <v>8.9</v>
      </c>
      <c r="AG13">
        <v>11.7</v>
      </c>
      <c r="AH13">
        <v>9.5</v>
      </c>
      <c r="AI13">
        <v>6.3</v>
      </c>
      <c r="AJ13">
        <v>5.6</v>
      </c>
      <c r="AK13">
        <v>1.2</v>
      </c>
      <c r="AL13">
        <v>7</v>
      </c>
      <c r="AM13">
        <v>9.6</v>
      </c>
    </row>
    <row r="14" spans="2:39" ht="12.75">
      <c r="B14" s="72"/>
      <c r="C14" s="95" t="s">
        <v>14</v>
      </c>
      <c r="D14" s="87">
        <f>COUNT(Q14:EC14)</f>
        <v>23</v>
      </c>
      <c r="E14" s="115">
        <f>AVERAGE(Q14:EC14)</f>
        <v>0.630434782608696</v>
      </c>
      <c r="F14" s="115">
        <f t="shared" si="0"/>
        <v>0.20671724861174248</v>
      </c>
      <c r="G14" s="115">
        <f>STDEV(Q14:EC14)</f>
        <v>0.5058159767855709</v>
      </c>
      <c r="H14" s="115">
        <f>QUARTILE(Q14:EC14,2)</f>
        <v>0.4</v>
      </c>
      <c r="I14" s="115">
        <f>MIN(Q14:EC14)</f>
        <v>0.3</v>
      </c>
      <c r="J14" s="115">
        <f>MAX(Q14:EC14)</f>
        <v>2</v>
      </c>
      <c r="K14" s="115">
        <f>PERCENTILE(Q14:EC14,0.95)</f>
        <v>1.8999999999999986</v>
      </c>
      <c r="L14" s="102"/>
      <c r="N14" s="116" t="s">
        <v>95</v>
      </c>
      <c r="O14" s="108"/>
      <c r="P14" t="s">
        <v>95</v>
      </c>
      <c r="Q14">
        <v>1</v>
      </c>
      <c r="R14">
        <v>1</v>
      </c>
      <c r="S14">
        <v>2</v>
      </c>
      <c r="T14">
        <v>1</v>
      </c>
      <c r="U14">
        <v>0.4</v>
      </c>
      <c r="V14">
        <v>0.3</v>
      </c>
      <c r="W14">
        <v>0.3</v>
      </c>
      <c r="X14">
        <v>0.4</v>
      </c>
      <c r="Y14">
        <v>0.4</v>
      </c>
      <c r="Z14">
        <v>2</v>
      </c>
      <c r="AA14">
        <v>0.3</v>
      </c>
      <c r="AB14">
        <v>0.5</v>
      </c>
      <c r="AC14">
        <v>0.3</v>
      </c>
      <c r="AD14">
        <v>0.8</v>
      </c>
      <c r="AE14">
        <v>0.3</v>
      </c>
      <c r="AF14">
        <v>0.5</v>
      </c>
      <c r="AG14">
        <v>0.3</v>
      </c>
      <c r="AH14">
        <v>0.3</v>
      </c>
      <c r="AI14">
        <v>0.5</v>
      </c>
      <c r="AJ14">
        <v>0.3</v>
      </c>
      <c r="AK14">
        <v>0.3</v>
      </c>
      <c r="AL14">
        <v>0.3</v>
      </c>
      <c r="AM14">
        <v>1</v>
      </c>
    </row>
    <row r="15" spans="2:39" ht="12.75">
      <c r="B15" s="208" t="s">
        <v>267</v>
      </c>
      <c r="C15" s="8" t="s">
        <v>268</v>
      </c>
      <c r="D15" s="81">
        <f>COUNT(Q15:EC15)</f>
        <v>23</v>
      </c>
      <c r="E15" s="40">
        <f>AVERAGE(Q15:EC15)</f>
        <v>38</v>
      </c>
      <c r="F15" s="40">
        <f t="shared" si="0"/>
        <v>36.16451968359566</v>
      </c>
      <c r="G15" s="40">
        <f>STDEV(Q15:EC15)</f>
        <v>88.49088294076607</v>
      </c>
      <c r="H15" s="40">
        <f>QUARTILE(Q15:EC15,2)</f>
        <v>5</v>
      </c>
      <c r="I15" s="40">
        <f>MIN(Q15:EC15)</f>
        <v>5</v>
      </c>
      <c r="J15" s="40">
        <f>MAX(Q15:EC15)</f>
        <v>400</v>
      </c>
      <c r="K15" s="40">
        <f>PERCENTILE(Q15:EC15,0.95)</f>
        <v>179.5999999999998</v>
      </c>
      <c r="L15" s="106" t="str">
        <f>IF(H15&lt;10,"A",IF(H15&lt;130,"B",IF(H15&lt;260,"C",IF(H15&lt;550,"D","E"))))</f>
        <v>A</v>
      </c>
      <c r="N15" s="116" t="s">
        <v>255</v>
      </c>
      <c r="O15" s="108"/>
      <c r="P15" t="s">
        <v>255</v>
      </c>
      <c r="Q15">
        <v>5</v>
      </c>
      <c r="R15">
        <v>20</v>
      </c>
      <c r="S15">
        <v>10</v>
      </c>
      <c r="T15">
        <v>5</v>
      </c>
      <c r="U15">
        <v>5</v>
      </c>
      <c r="V15">
        <v>10</v>
      </c>
      <c r="W15">
        <v>5</v>
      </c>
      <c r="X15">
        <v>5</v>
      </c>
      <c r="Y15">
        <v>400</v>
      </c>
      <c r="Z15">
        <v>45</v>
      </c>
      <c r="AA15">
        <v>5</v>
      </c>
      <c r="AB15">
        <v>5</v>
      </c>
      <c r="AC15">
        <v>40</v>
      </c>
      <c r="AD15">
        <v>50</v>
      </c>
      <c r="AE15">
        <v>5</v>
      </c>
      <c r="AF15">
        <v>5</v>
      </c>
      <c r="AG15">
        <v>10</v>
      </c>
      <c r="AH15">
        <v>5</v>
      </c>
      <c r="AI15">
        <v>5</v>
      </c>
      <c r="AJ15">
        <v>5</v>
      </c>
      <c r="AK15">
        <v>194</v>
      </c>
      <c r="AL15">
        <v>10</v>
      </c>
      <c r="AM15">
        <v>25</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134.83333333333334</v>
      </c>
      <c r="F17" s="44">
        <f>CONFIDENCE(0.05,G17,D17)</f>
        <v>9.713418395386132</v>
      </c>
      <c r="G17" s="44">
        <f>STDEV(Q17:EC17)</f>
        <v>12.139467313958455</v>
      </c>
      <c r="H17" s="44">
        <f>QUARTILE(Q17:EC17,2)</f>
        <v>134</v>
      </c>
      <c r="I17" s="44">
        <f>MIN(Q17:EC17)</f>
        <v>122</v>
      </c>
      <c r="J17" s="44">
        <f>MAX(Q17:EC17)</f>
        <v>153</v>
      </c>
      <c r="K17" s="44">
        <f>PERCENTILE(Q17:EC17,0.95)</f>
        <v>150.25</v>
      </c>
      <c r="L17" s="102" t="str">
        <f>IF(H17&gt;120,"A",IF(H17&gt;100,"B",IF(H17&gt;80,"C",IF(H17&gt;60,"D","E"))))</f>
        <v>A</v>
      </c>
      <c r="N17" s="116" t="s">
        <v>17</v>
      </c>
      <c r="O17" s="108"/>
      <c r="P17" t="s">
        <v>17</v>
      </c>
      <c r="Q17">
        <v>124</v>
      </c>
      <c r="U17">
        <v>128</v>
      </c>
      <c r="X17">
        <v>122</v>
      </c>
      <c r="AB17">
        <v>153</v>
      </c>
      <c r="AF17">
        <v>140</v>
      </c>
      <c r="AJ17">
        <v>142</v>
      </c>
    </row>
    <row r="18" spans="2:36" ht="12.75">
      <c r="B18" s="74"/>
      <c r="C18" s="96" t="s">
        <v>18</v>
      </c>
      <c r="D18" s="81">
        <f>COUNT(Q18:EC18)</f>
        <v>6</v>
      </c>
      <c r="E18" s="44">
        <f>AVERAGE(Q18:EC18)</f>
        <v>7.437333333333332</v>
      </c>
      <c r="F18" s="44">
        <f>CONFIDENCE(0.05,G18,D18)</f>
        <v>0.29572588296328484</v>
      </c>
      <c r="G18" s="44">
        <f>STDEV(Q18:EC18)</f>
        <v>0.36958715706403905</v>
      </c>
      <c r="H18" s="44">
        <f>QUARTILE(Q18:EC18,2)</f>
        <v>7.495</v>
      </c>
      <c r="I18" s="44">
        <f>MIN(Q18:EC18)</f>
        <v>7.01</v>
      </c>
      <c r="J18" s="44">
        <f>MAX(Q18:EC18)</f>
        <v>7.98</v>
      </c>
      <c r="K18" s="44">
        <f>PERCENTILE(Q18:EC18,0.95)</f>
        <v>7.885</v>
      </c>
      <c r="L18" s="105" t="str">
        <f>IF(H18&gt;6,"A",IF(H18&gt;5,"B",IF(H18&gt;4,"C",IF(H18&gt;3,"D","E"))))</f>
        <v>A</v>
      </c>
      <c r="N18" s="116" t="s">
        <v>18</v>
      </c>
      <c r="O18" s="108"/>
      <c r="P18" t="s">
        <v>18</v>
      </c>
      <c r="Q18">
        <v>7.01</v>
      </c>
      <c r="U18">
        <v>7.59</v>
      </c>
      <c r="X18">
        <v>7.6</v>
      </c>
      <c r="AB18">
        <v>7.4</v>
      </c>
      <c r="AF18">
        <v>7.98</v>
      </c>
      <c r="AJ18">
        <v>7.044</v>
      </c>
    </row>
    <row r="19" spans="2:36" ht="12.75">
      <c r="B19" s="71" t="s">
        <v>106</v>
      </c>
      <c r="C19" s="7" t="s">
        <v>19</v>
      </c>
      <c r="D19" s="86">
        <f>COUNT(Q19:EC19)</f>
        <v>6</v>
      </c>
      <c r="E19" s="113">
        <f>AVERAGE(Q19:EC19)</f>
        <v>8.279</v>
      </c>
      <c r="F19" s="113">
        <f>CONFIDENCE(0.05,G19,D19)</f>
        <v>1.1391573037819918</v>
      </c>
      <c r="G19" s="113">
        <f>STDEV(Q19:EC19)</f>
        <v>1.423676227237075</v>
      </c>
      <c r="H19" s="113">
        <f>QUARTILE(Q19:EC19,2)</f>
        <v>8.637</v>
      </c>
      <c r="I19" s="113">
        <f>MIN(Q19:EC19)</f>
        <v>6.2</v>
      </c>
      <c r="J19" s="113">
        <f>MAX(Q19:EC19)</f>
        <v>9.7</v>
      </c>
      <c r="K19" s="113">
        <f>PERCENTILE(Q19:EC19,0.95)</f>
        <v>9.625</v>
      </c>
      <c r="L19" s="102" t="str">
        <f>IF(H19&gt;8,"A",IF(H19&gt;6,"B",IF(H19&gt;4,"C",IF(H19&gt;2,"D","E"))))</f>
        <v>A</v>
      </c>
      <c r="N19" s="116" t="s">
        <v>96</v>
      </c>
      <c r="O19" s="108"/>
      <c r="P19" t="s">
        <v>96</v>
      </c>
      <c r="R19">
        <v>7.97</v>
      </c>
      <c r="S19">
        <v>6.2</v>
      </c>
      <c r="X19">
        <v>7.1</v>
      </c>
      <c r="AB19">
        <v>9.7</v>
      </c>
      <c r="AF19">
        <v>9.4</v>
      </c>
      <c r="AJ19">
        <v>9.304</v>
      </c>
    </row>
    <row r="20" spans="2:36" ht="12.75">
      <c r="B20" s="72"/>
      <c r="C20" s="97" t="s">
        <v>122</v>
      </c>
      <c r="D20" s="87">
        <f>COUNT(Q20:EC20)</f>
        <v>4</v>
      </c>
      <c r="E20" s="114">
        <f>AVERAGE(Q20:EC20)</f>
        <v>1.775</v>
      </c>
      <c r="F20" s="114">
        <f>CONFIDENCE(0.05,G20,D20)</f>
        <v>2.156517119060924</v>
      </c>
      <c r="G20" s="114">
        <f>STDEV(Q20:EC20)</f>
        <v>2.200568108466539</v>
      </c>
      <c r="H20" s="114">
        <f>QUARTILE(Q20:EC20,2)</f>
        <v>1.15</v>
      </c>
      <c r="I20" s="114">
        <f>MIN(Q20:EC20)</f>
        <v>0</v>
      </c>
      <c r="J20" s="114">
        <f>MAX(Q20:EC20)</f>
        <v>4.8</v>
      </c>
      <c r="K20" s="114">
        <f>PERCENTILE(Q20:EC20,0.95)</f>
        <v>4.379999999999999</v>
      </c>
      <c r="L20" s="105"/>
      <c r="N20" s="116" t="s">
        <v>97</v>
      </c>
      <c r="O20" s="108"/>
      <c r="P20" t="s">
        <v>97</v>
      </c>
      <c r="X20">
        <v>0.3</v>
      </c>
      <c r="AB20">
        <v>2</v>
      </c>
      <c r="AF20">
        <v>4.8</v>
      </c>
      <c r="AJ20">
        <v>0</v>
      </c>
    </row>
    <row r="21" spans="2:15" ht="12.75">
      <c r="B21" s="71" t="s">
        <v>112</v>
      </c>
      <c r="C21" s="7" t="s">
        <v>21</v>
      </c>
      <c r="D21" s="81">
        <v>2</v>
      </c>
      <c r="E21" s="82">
        <v>0.425</v>
      </c>
      <c r="F21" s="82"/>
      <c r="G21" s="82"/>
      <c r="H21" s="82"/>
      <c r="I21" s="82">
        <v>0.05</v>
      </c>
      <c r="J21" s="82">
        <v>0.8</v>
      </c>
      <c r="K21" s="82"/>
      <c r="L21" s="169" t="str">
        <f>IF(E21&gt;=H34,"E","A - D")</f>
        <v>A - D</v>
      </c>
      <c r="O21" s="108"/>
    </row>
    <row r="22" spans="2:17" ht="12.75">
      <c r="B22" s="73" t="s">
        <v>111</v>
      </c>
      <c r="C22" s="9" t="s">
        <v>22</v>
      </c>
      <c r="D22" s="81">
        <v>2</v>
      </c>
      <c r="E22" s="82">
        <v>31.5</v>
      </c>
      <c r="F22" s="82"/>
      <c r="G22" s="82"/>
      <c r="H22" s="82"/>
      <c r="I22" s="82">
        <v>23</v>
      </c>
      <c r="J22" s="82">
        <v>40</v>
      </c>
      <c r="K22" s="82"/>
      <c r="L22" s="169" t="str">
        <f>IF(E22&gt;=H35,"E","A - D")</f>
        <v>A - D</v>
      </c>
      <c r="N22" s="111"/>
      <c r="O22" s="108"/>
      <c r="Q22" s="20"/>
    </row>
    <row r="23" spans="2:17" ht="12.75">
      <c r="B23" s="73"/>
      <c r="C23" s="9" t="s">
        <v>23</v>
      </c>
      <c r="D23" s="81">
        <v>2</v>
      </c>
      <c r="E23" s="82">
        <v>12.45</v>
      </c>
      <c r="F23" s="82"/>
      <c r="G23" s="82"/>
      <c r="H23" s="82"/>
      <c r="I23" s="82">
        <v>7.9</v>
      </c>
      <c r="J23" s="82">
        <v>17</v>
      </c>
      <c r="K23" s="82"/>
      <c r="L23" s="169" t="str">
        <f>IF(E23&gt;=H36,"E","A - D")</f>
        <v>A - D</v>
      </c>
      <c r="N23" s="111"/>
      <c r="O23" s="108"/>
      <c r="Q23" s="20"/>
    </row>
    <row r="24" spans="2:17" ht="12.75">
      <c r="B24" s="73"/>
      <c r="C24" s="9" t="s">
        <v>24</v>
      </c>
      <c r="D24" s="81">
        <v>2</v>
      </c>
      <c r="E24" s="82">
        <v>67</v>
      </c>
      <c r="F24" s="82"/>
      <c r="G24" s="82"/>
      <c r="H24" s="82"/>
      <c r="I24" s="82">
        <v>54</v>
      </c>
      <c r="J24" s="82">
        <v>80</v>
      </c>
      <c r="K24" s="82"/>
      <c r="L24" s="169" t="str">
        <f>IF(E24&gt;=H37,"E","A - D")</f>
        <v>A - D</v>
      </c>
      <c r="N24" s="111"/>
      <c r="O24" s="108"/>
      <c r="Q24" s="20"/>
    </row>
    <row r="25" spans="2:17" ht="13.5" thickBot="1">
      <c r="B25" s="75"/>
      <c r="C25" s="98"/>
      <c r="D25" s="83"/>
      <c r="E25" s="84"/>
      <c r="F25" s="84"/>
      <c r="G25" s="84"/>
      <c r="H25" s="84"/>
      <c r="I25" s="84"/>
      <c r="J25" s="84"/>
      <c r="K25" s="84"/>
      <c r="L25" s="91"/>
      <c r="O25" s="108"/>
      <c r="Q25" s="20"/>
    </row>
    <row r="26" spans="2:17" ht="12.75">
      <c r="B26" s="80"/>
      <c r="C26" s="89"/>
      <c r="D26" s="89"/>
      <c r="E26" s="89"/>
      <c r="F26" s="89"/>
      <c r="G26" s="89"/>
      <c r="H26" s="89"/>
      <c r="I26" s="89"/>
      <c r="J26" s="89"/>
      <c r="K26" s="89"/>
      <c r="L26" s="100"/>
      <c r="O26" s="108"/>
      <c r="Q26" s="20"/>
    </row>
    <row r="27" spans="2:17" ht="12.75">
      <c r="B27" s="210" t="s">
        <v>119</v>
      </c>
      <c r="C27" s="211"/>
      <c r="D27" s="211"/>
      <c r="E27" s="211"/>
      <c r="F27" s="211"/>
      <c r="G27" s="76" t="str">
        <f>'Combined Score Calcs'!P10</f>
        <v>A</v>
      </c>
      <c r="H27" s="39"/>
      <c r="I27" s="39"/>
      <c r="J27" s="39"/>
      <c r="K27" s="99"/>
      <c r="L27" s="90"/>
      <c r="O27" s="108"/>
      <c r="Q27" s="20"/>
    </row>
    <row r="28" spans="2:17" ht="13.5" thickBot="1">
      <c r="B28" s="83"/>
      <c r="C28" s="84"/>
      <c r="D28" s="84"/>
      <c r="E28" s="84"/>
      <c r="F28" s="84"/>
      <c r="G28" s="84"/>
      <c r="H28" s="84"/>
      <c r="I28" s="84"/>
      <c r="J28" s="84"/>
      <c r="K28" s="84"/>
      <c r="L28" s="91"/>
      <c r="O28" s="108"/>
      <c r="Q28" s="20"/>
    </row>
    <row r="29" spans="12:17" ht="12.75">
      <c r="L29" s="60"/>
      <c r="O29" s="108"/>
      <c r="Q29" s="20"/>
    </row>
    <row r="30" ht="12.75">
      <c r="L30" s="60"/>
    </row>
    <row r="31" ht="12.75">
      <c r="L31" s="60"/>
    </row>
    <row r="32" ht="12.75">
      <c r="L32" s="60"/>
    </row>
    <row r="33" spans="7:12" ht="12.75">
      <c r="G33" t="s">
        <v>140</v>
      </c>
      <c r="H33" t="s">
        <v>141</v>
      </c>
      <c r="L33" s="60"/>
    </row>
    <row r="34" spans="5:12" ht="12.75">
      <c r="E34" s="158"/>
      <c r="F34" s="153"/>
      <c r="G34" s="118" t="s">
        <v>21</v>
      </c>
      <c r="H34" s="136">
        <v>1.5</v>
      </c>
      <c r="I34" s="137">
        <v>10</v>
      </c>
      <c r="J34" s="119"/>
      <c r="K34" s="119"/>
      <c r="L34" s="60"/>
    </row>
    <row r="35" spans="5:12" ht="12.75">
      <c r="E35" s="158"/>
      <c r="F35" s="153"/>
      <c r="G35" s="122" t="s">
        <v>22</v>
      </c>
      <c r="H35" s="137">
        <v>65</v>
      </c>
      <c r="I35" s="137">
        <v>270</v>
      </c>
      <c r="J35" s="119"/>
      <c r="K35" s="119"/>
      <c r="L35" s="60"/>
    </row>
    <row r="36" spans="5:12" ht="12.75">
      <c r="E36" s="158"/>
      <c r="F36" s="153"/>
      <c r="G36" s="122" t="s">
        <v>23</v>
      </c>
      <c r="H36" s="137">
        <v>50</v>
      </c>
      <c r="I36" s="137">
        <v>220</v>
      </c>
      <c r="J36" s="119"/>
      <c r="K36" s="119"/>
      <c r="L36" s="60"/>
    </row>
    <row r="37" spans="5:12" ht="12.75">
      <c r="E37" s="158"/>
      <c r="F37" s="153"/>
      <c r="G37" s="122" t="s">
        <v>24</v>
      </c>
      <c r="H37" s="137">
        <v>200</v>
      </c>
      <c r="I37" s="137">
        <v>210</v>
      </c>
      <c r="J37" s="119"/>
      <c r="K37" s="119"/>
      <c r="L37" s="60"/>
    </row>
    <row r="38" spans="7:12" ht="12.75">
      <c r="G38" s="122"/>
      <c r="H38" t="s">
        <v>137</v>
      </c>
      <c r="I38" t="s">
        <v>138</v>
      </c>
      <c r="L38" s="60"/>
    </row>
    <row r="39" ht="12.75">
      <c r="L39" s="60"/>
    </row>
    <row r="40" ht="12.75">
      <c r="L40" s="60"/>
    </row>
    <row r="41" ht="12.75">
      <c r="L41" s="60"/>
    </row>
    <row r="42" ht="12.75">
      <c r="L42" s="60"/>
    </row>
    <row r="43" spans="5:12" ht="12.75">
      <c r="E43" s="158"/>
      <c r="F43" s="153"/>
      <c r="G43" s="119"/>
      <c r="H43" s="119"/>
      <c r="I43" s="119"/>
      <c r="J43" s="119"/>
      <c r="K43" s="119"/>
      <c r="L43" s="60"/>
    </row>
    <row r="44" spans="5:12" ht="12.75">
      <c r="E44" s="158"/>
      <c r="F44" s="153"/>
      <c r="G44" s="119"/>
      <c r="H44" s="119"/>
      <c r="I44" s="119"/>
      <c r="J44" s="119"/>
      <c r="K44" s="119"/>
      <c r="L44" s="60"/>
    </row>
    <row r="45" spans="5:12" ht="12.75">
      <c r="E45" s="158"/>
      <c r="F45" s="153"/>
      <c r="G45" s="119"/>
      <c r="H45" s="119"/>
      <c r="I45" s="119"/>
      <c r="J45" s="119"/>
      <c r="K45" s="119"/>
      <c r="L45" s="60"/>
    </row>
    <row r="46" spans="5:12" ht="12.75">
      <c r="E46" s="158"/>
      <c r="F46" s="153"/>
      <c r="G46" s="119"/>
      <c r="H46" s="119"/>
      <c r="I46" s="119"/>
      <c r="J46" s="119"/>
      <c r="K46" s="119"/>
      <c r="L46" s="60"/>
    </row>
    <row r="47" ht="12.75">
      <c r="L47" s="60"/>
    </row>
  </sheetData>
  <mergeCells count="1">
    <mergeCell ref="B27:F27"/>
  </mergeCells>
  <printOptions/>
  <pageMargins left="0.75" right="0.75" top="1" bottom="1" header="0.5" footer="0.5"/>
  <pageSetup horizontalDpi="600" verticalDpi="600" orientation="portrait" paperSize="133" r:id="rId1"/>
</worksheet>
</file>

<file path=xl/worksheets/sheet18.xml><?xml version="1.0" encoding="utf-8"?>
<worksheet xmlns="http://schemas.openxmlformats.org/spreadsheetml/2006/main" xmlns:r="http://schemas.openxmlformats.org/officeDocument/2006/relationships">
  <dimension ref="B1:AQ73"/>
  <sheetViews>
    <sheetView workbookViewId="0" topLeftCell="A1">
      <selection activeCell="B3" sqref="B3:L46"/>
    </sheetView>
  </sheetViews>
  <sheetFormatPr defaultColWidth="9.140625" defaultRowHeight="12.75"/>
  <cols>
    <col min="3" max="3" width="28.7109375" style="0" bestFit="1" customWidth="1"/>
    <col min="14" max="14" width="34.140625" style="0" customWidth="1"/>
    <col min="16" max="16" width="33.57421875" style="0" customWidth="1"/>
  </cols>
  <sheetData>
    <row r="1" spans="2:15" ht="15.75">
      <c r="B1" s="107" t="s">
        <v>148</v>
      </c>
      <c r="O1" s="109" t="s">
        <v>125</v>
      </c>
    </row>
    <row r="2" spans="12:39" ht="13.5" thickBot="1">
      <c r="L2" s="60"/>
      <c r="N2" s="116" t="s">
        <v>84</v>
      </c>
      <c r="O2" s="110"/>
      <c r="P2" t="s">
        <v>84</v>
      </c>
      <c r="Q2" t="s">
        <v>53</v>
      </c>
      <c r="R2" t="s">
        <v>53</v>
      </c>
      <c r="S2" t="s">
        <v>53</v>
      </c>
      <c r="T2" t="s">
        <v>53</v>
      </c>
      <c r="U2" t="s">
        <v>53</v>
      </c>
      <c r="V2" t="s">
        <v>53</v>
      </c>
      <c r="W2" t="s">
        <v>53</v>
      </c>
      <c r="X2" t="s">
        <v>53</v>
      </c>
      <c r="Y2" t="s">
        <v>53</v>
      </c>
      <c r="Z2" t="s">
        <v>53</v>
      </c>
      <c r="AA2" t="s">
        <v>53</v>
      </c>
      <c r="AB2" t="s">
        <v>53</v>
      </c>
      <c r="AC2" t="s">
        <v>53</v>
      </c>
      <c r="AD2" t="s">
        <v>53</v>
      </c>
      <c r="AE2" t="s">
        <v>53</v>
      </c>
      <c r="AF2" t="s">
        <v>53</v>
      </c>
      <c r="AG2" t="s">
        <v>53</v>
      </c>
      <c r="AH2" t="s">
        <v>53</v>
      </c>
      <c r="AI2" t="s">
        <v>53</v>
      </c>
      <c r="AJ2" t="s">
        <v>53</v>
      </c>
      <c r="AK2" t="s">
        <v>53</v>
      </c>
      <c r="AL2" t="s">
        <v>53</v>
      </c>
      <c r="AM2" t="s">
        <v>53</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36831.71875</v>
      </c>
      <c r="R3" s="64">
        <v>36917.61111111111</v>
      </c>
      <c r="S3" s="64">
        <v>37011.60763888889</v>
      </c>
      <c r="T3" s="64">
        <v>37106.604166666664</v>
      </c>
      <c r="U3" s="64">
        <v>37221.625</v>
      </c>
      <c r="V3" s="64">
        <v>37383.479166666664</v>
      </c>
      <c r="W3" s="64">
        <v>37474.46527777778</v>
      </c>
      <c r="X3" s="64">
        <v>37585.618055555555</v>
      </c>
      <c r="Y3" s="64">
        <v>37648.614583333336</v>
      </c>
      <c r="Z3" s="64">
        <v>37746.5</v>
      </c>
      <c r="AA3" s="64">
        <v>37837.479166666664</v>
      </c>
      <c r="AB3" s="64">
        <v>37949.67361111111</v>
      </c>
      <c r="AC3" s="64">
        <v>38027.48263888889</v>
      </c>
      <c r="AD3" s="64">
        <v>38111.46527777778</v>
      </c>
      <c r="AE3" s="64">
        <v>38202.43402777778</v>
      </c>
      <c r="AF3" s="64">
        <v>38335.57986111111</v>
      </c>
      <c r="AG3" s="64">
        <v>38393.42361111111</v>
      </c>
      <c r="AH3" s="64">
        <v>38477.46944444445</v>
      </c>
      <c r="AI3" s="64">
        <v>38593.47361111111</v>
      </c>
      <c r="AJ3" s="64">
        <v>38679.583333333336</v>
      </c>
      <c r="AK3" s="64">
        <v>38776.47361111111</v>
      </c>
      <c r="AL3" s="64">
        <v>38869.4375</v>
      </c>
      <c r="AM3" s="64">
        <v>38960.44097222222</v>
      </c>
      <c r="AO3" s="64"/>
      <c r="AP3" s="64"/>
      <c r="AQ3" s="64"/>
    </row>
    <row r="4" spans="2:39" ht="12.75">
      <c r="B4" s="68" t="s">
        <v>103</v>
      </c>
      <c r="C4" s="93" t="s">
        <v>4</v>
      </c>
      <c r="D4" s="81">
        <f>COUNT(Q4:EC4)</f>
        <v>20</v>
      </c>
      <c r="E4" s="82">
        <f>AVERAGE(Q4:EC4)</f>
        <v>0.19450000000000003</v>
      </c>
      <c r="F4" s="82">
        <f aca="true" t="shared" si="0" ref="F4:F15">CONFIDENCE(0.05,G4,D4)</f>
        <v>0.038192838283335175</v>
      </c>
      <c r="G4" s="82">
        <f>STDEV(Q4:EC4)</f>
        <v>0.08714627751206878</v>
      </c>
      <c r="H4" s="82">
        <f>QUARTILE(Q4:EC4,2)</f>
        <v>0.175</v>
      </c>
      <c r="I4" s="82">
        <f>MIN(Q4:EC4)</f>
        <v>0.1</v>
      </c>
      <c r="J4" s="82">
        <f>MAX(Q4:EC4)</f>
        <v>0.45</v>
      </c>
      <c r="K4" s="82">
        <f>PERCENTILE(Q4:EC4,0.95)</f>
        <v>0.35500000000000004</v>
      </c>
      <c r="L4" s="102" t="str">
        <f>IF((H4+H5)&lt;0.08,"A",IF((H4+H5)&lt;0.12,"B",IF((H4+H5)&lt;0.295,"C",IF((H4+H5)&lt;0.444,"D","E"))))</f>
        <v>C</v>
      </c>
      <c r="N4" s="116" t="s">
        <v>86</v>
      </c>
      <c r="O4" s="108"/>
      <c r="P4" t="s">
        <v>86</v>
      </c>
      <c r="R4">
        <v>0.26</v>
      </c>
      <c r="S4">
        <v>0.18</v>
      </c>
      <c r="V4">
        <v>0.14</v>
      </c>
      <c r="W4">
        <v>0.21</v>
      </c>
      <c r="X4">
        <v>0.17</v>
      </c>
      <c r="Y4">
        <v>0.18</v>
      </c>
      <c r="Z4">
        <v>0.1</v>
      </c>
      <c r="AA4">
        <v>0.23</v>
      </c>
      <c r="AB4">
        <v>0.18</v>
      </c>
      <c r="AC4">
        <v>0.19</v>
      </c>
      <c r="AD4">
        <v>0.16</v>
      </c>
      <c r="AE4">
        <v>0.45</v>
      </c>
      <c r="AF4">
        <v>0.1</v>
      </c>
      <c r="AG4">
        <v>0.14</v>
      </c>
      <c r="AH4">
        <v>0.12</v>
      </c>
      <c r="AI4">
        <v>0.15</v>
      </c>
      <c r="AJ4">
        <v>0.12</v>
      </c>
      <c r="AK4">
        <v>0.17</v>
      </c>
      <c r="AL4">
        <v>0.35</v>
      </c>
      <c r="AM4">
        <v>0.29</v>
      </c>
    </row>
    <row r="5" spans="2:39" ht="12.75">
      <c r="B5" s="69"/>
      <c r="C5" s="5" t="s">
        <v>5</v>
      </c>
      <c r="D5" s="73">
        <f>COUNT(Q5:EC5)</f>
        <v>18</v>
      </c>
      <c r="E5" s="112">
        <f>AVERAGE(Q5:EC5)</f>
        <v>0.007000000000000003</v>
      </c>
      <c r="F5" s="112">
        <f t="shared" si="0"/>
        <v>0.001699226591428716</v>
      </c>
      <c r="G5" s="112">
        <f>STDEV(Q5:EC5)</f>
        <v>0.003678234870791402</v>
      </c>
      <c r="H5" s="112">
        <f>QUARTILE(Q5:EC5,2)</f>
        <v>0.005</v>
      </c>
      <c r="I5" s="112">
        <f>MIN(Q5:EC5)</f>
        <v>0.005</v>
      </c>
      <c r="J5" s="112">
        <f>MAX(Q5:EC5)</f>
        <v>0.02</v>
      </c>
      <c r="K5" s="112">
        <f>PERCENTILE(Q5:EC5,0.95)</f>
        <v>0.011499999999999986</v>
      </c>
      <c r="L5" s="102"/>
      <c r="N5" s="116" t="s">
        <v>87</v>
      </c>
      <c r="O5" s="108"/>
      <c r="P5" t="s">
        <v>87</v>
      </c>
      <c r="V5">
        <v>0.005</v>
      </c>
      <c r="W5">
        <v>0.01</v>
      </c>
      <c r="X5">
        <v>0.02</v>
      </c>
      <c r="Y5">
        <v>0.01</v>
      </c>
      <c r="Z5">
        <v>0.007</v>
      </c>
      <c r="AA5">
        <v>0.006</v>
      </c>
      <c r="AB5">
        <v>0.008</v>
      </c>
      <c r="AC5">
        <v>0.005</v>
      </c>
      <c r="AD5">
        <v>0.005</v>
      </c>
      <c r="AE5">
        <v>0.005</v>
      </c>
      <c r="AF5">
        <v>0.005</v>
      </c>
      <c r="AG5">
        <v>0.008</v>
      </c>
      <c r="AH5">
        <v>0.005</v>
      </c>
      <c r="AI5">
        <v>0.005</v>
      </c>
      <c r="AJ5">
        <v>0.007</v>
      </c>
      <c r="AK5">
        <v>0.005</v>
      </c>
      <c r="AL5">
        <v>0.005</v>
      </c>
      <c r="AM5">
        <v>0.005</v>
      </c>
    </row>
    <row r="6" spans="2:39" ht="12.75">
      <c r="B6" s="70"/>
      <c r="C6" s="94" t="s">
        <v>6</v>
      </c>
      <c r="D6" s="73">
        <f>COUNT(Q6:EC6)</f>
        <v>23</v>
      </c>
      <c r="E6" s="112">
        <f>AVERAGE(Q6:EC6)</f>
        <v>0.011217391304347827</v>
      </c>
      <c r="F6" s="112">
        <f t="shared" si="0"/>
        <v>0.0016983020536836411</v>
      </c>
      <c r="G6" s="112">
        <f>STDEV(Q6:EC6)</f>
        <v>0.0041555715255013085</v>
      </c>
      <c r="H6" s="112">
        <f>QUARTILE(Q6:EC6,2)</f>
        <v>0.011</v>
      </c>
      <c r="I6" s="112">
        <f>MIN(Q6:EC6)</f>
        <v>0.004</v>
      </c>
      <c r="J6" s="112">
        <f>MAX(Q6:EC6)</f>
        <v>0.019</v>
      </c>
      <c r="K6" s="112">
        <f>PERCENTILE(Q6:EC6,0.95)</f>
        <v>0.018699999999999994</v>
      </c>
      <c r="L6" s="102" t="str">
        <f>IF((H6)&lt;0.005,"A",IF((H6)&lt;0.008,"B",IF((H6)&lt;0.026,"C",IF((H6)&lt;0.05,"D","E"))))</f>
        <v>C</v>
      </c>
      <c r="N6" s="116" t="s">
        <v>88</v>
      </c>
      <c r="O6" s="108"/>
      <c r="P6" t="s">
        <v>88</v>
      </c>
      <c r="Q6">
        <v>0.01</v>
      </c>
      <c r="R6">
        <v>0.016</v>
      </c>
      <c r="S6">
        <v>0.009</v>
      </c>
      <c r="T6">
        <v>0.01</v>
      </c>
      <c r="U6">
        <v>0.015</v>
      </c>
      <c r="V6">
        <v>0.007</v>
      </c>
      <c r="W6">
        <v>0.005</v>
      </c>
      <c r="X6">
        <v>0.011</v>
      </c>
      <c r="Y6">
        <v>0.012</v>
      </c>
      <c r="Z6">
        <v>0.009</v>
      </c>
      <c r="AA6">
        <v>0.012</v>
      </c>
      <c r="AB6">
        <v>0.019</v>
      </c>
      <c r="AC6">
        <v>0.016</v>
      </c>
      <c r="AD6">
        <v>0.019</v>
      </c>
      <c r="AE6">
        <v>0.014</v>
      </c>
      <c r="AF6">
        <v>0.01</v>
      </c>
      <c r="AG6">
        <v>0.014</v>
      </c>
      <c r="AH6">
        <v>0.007</v>
      </c>
      <c r="AI6">
        <v>0.006</v>
      </c>
      <c r="AJ6">
        <v>0.013</v>
      </c>
      <c r="AK6">
        <v>0.008</v>
      </c>
      <c r="AL6">
        <v>0.012</v>
      </c>
      <c r="AM6">
        <v>0.004</v>
      </c>
    </row>
    <row r="7" spans="2:39" ht="12.75">
      <c r="B7" s="71" t="s">
        <v>104</v>
      </c>
      <c r="C7" s="6" t="s">
        <v>7</v>
      </c>
      <c r="D7" s="86">
        <f>COUNT(Q7:EC7)</f>
        <v>22</v>
      </c>
      <c r="E7" s="113">
        <f>AVERAGE(Q7:EC7)</f>
        <v>7.996818181818181</v>
      </c>
      <c r="F7" s="113">
        <f t="shared" si="0"/>
        <v>0.24267544233089164</v>
      </c>
      <c r="G7" s="113">
        <f>STDEV(Q7:EC7)</f>
        <v>0.5807498138788757</v>
      </c>
      <c r="H7" s="113">
        <f>QUARTILE(Q7:EC7,2)</f>
        <v>7.835</v>
      </c>
      <c r="I7" s="113">
        <f>MIN(Q7:EC7)</f>
        <v>7.07</v>
      </c>
      <c r="J7" s="113">
        <f>MAX(Q7:EC7)</f>
        <v>9.25</v>
      </c>
      <c r="K7" s="113">
        <f>PERCENTILE(Q7:EC7,0.95)</f>
        <v>8.797500000000001</v>
      </c>
      <c r="L7" s="103" t="str">
        <f>IF(AND(7.2&lt;H7,H7&lt;9),"A",IF(AND(7.2&lt;=H7,H7&lt;=9),"B",IF(AND(6.5&lt;=H7,H7&lt;=9),"C",IF(AND(6.5&lt;=H7,H7&lt;=10),"D","E"))))</f>
        <v>A</v>
      </c>
      <c r="N7" s="116" t="s">
        <v>89</v>
      </c>
      <c r="O7" s="108"/>
      <c r="P7" t="s">
        <v>89</v>
      </c>
      <c r="Q7">
        <v>8.64</v>
      </c>
      <c r="R7">
        <v>7.75</v>
      </c>
      <c r="S7">
        <v>8.48</v>
      </c>
      <c r="U7">
        <v>8.8</v>
      </c>
      <c r="V7">
        <v>7.38</v>
      </c>
      <c r="W7">
        <v>8.48</v>
      </c>
      <c r="X7">
        <v>8.62</v>
      </c>
      <c r="Y7">
        <v>7.84</v>
      </c>
      <c r="Z7">
        <v>7.83</v>
      </c>
      <c r="AA7">
        <v>7.7</v>
      </c>
      <c r="AB7">
        <v>9.25</v>
      </c>
      <c r="AC7">
        <v>7.88</v>
      </c>
      <c r="AD7">
        <v>7.4</v>
      </c>
      <c r="AE7">
        <v>7.63</v>
      </c>
      <c r="AF7">
        <v>8.75</v>
      </c>
      <c r="AG7">
        <v>7.45</v>
      </c>
      <c r="AH7">
        <v>7.64</v>
      </c>
      <c r="AI7">
        <v>8.17</v>
      </c>
      <c r="AJ7">
        <v>7.24</v>
      </c>
      <c r="AK7">
        <v>7.07</v>
      </c>
      <c r="AL7">
        <v>7.8</v>
      </c>
      <c r="AM7">
        <v>8.13</v>
      </c>
    </row>
    <row r="8" spans="2:39" ht="12.75">
      <c r="B8" s="71"/>
      <c r="C8" s="6" t="s">
        <v>8</v>
      </c>
      <c r="D8" s="81">
        <f>COUNT(Q8:EC8)</f>
        <v>23</v>
      </c>
      <c r="E8" s="44">
        <f>AVERAGE(Q8:EC8)</f>
        <v>14.230869565217391</v>
      </c>
      <c r="F8" s="44">
        <f t="shared" si="0"/>
        <v>2.0180139914705433</v>
      </c>
      <c r="G8" s="44">
        <f>STDEV(Q8:EC8)</f>
        <v>4.937873956419517</v>
      </c>
      <c r="H8" s="44">
        <f>QUARTILE(Q8:EC8,2)</f>
        <v>15.04</v>
      </c>
      <c r="I8" s="44">
        <f>MIN(Q8:EC8)</f>
        <v>6.6</v>
      </c>
      <c r="J8" s="44">
        <f>MAX(Q8:EC8)</f>
        <v>22.8</v>
      </c>
      <c r="K8" s="44">
        <f>PERCENTILE(Q8:EC8,0.95)</f>
        <v>22.276999999999997</v>
      </c>
      <c r="L8" s="102" t="str">
        <f>IF(H8&lt;18,"A",IF(H8&lt;20,"B",IF(H8&lt;22,"C",IF(H8&lt;25,"D","E"))))</f>
        <v>A</v>
      </c>
      <c r="N8" s="116" t="s">
        <v>90</v>
      </c>
      <c r="O8" s="108"/>
      <c r="P8" t="s">
        <v>90</v>
      </c>
      <c r="Q8">
        <v>17.3</v>
      </c>
      <c r="R8">
        <v>22.8</v>
      </c>
      <c r="S8">
        <v>15.2</v>
      </c>
      <c r="T8">
        <v>11.2</v>
      </c>
      <c r="U8">
        <v>15.27</v>
      </c>
      <c r="V8">
        <v>12.08</v>
      </c>
      <c r="W8">
        <v>8.2</v>
      </c>
      <c r="X8">
        <v>17.8</v>
      </c>
      <c r="Y8">
        <v>17.7</v>
      </c>
      <c r="Z8">
        <v>11.3</v>
      </c>
      <c r="AA8">
        <v>9.3</v>
      </c>
      <c r="AB8">
        <v>22.4</v>
      </c>
      <c r="AC8">
        <v>16.4</v>
      </c>
      <c r="AD8">
        <v>11.3</v>
      </c>
      <c r="AE8">
        <v>6.6</v>
      </c>
      <c r="AF8">
        <v>21</v>
      </c>
      <c r="AG8">
        <v>17.7</v>
      </c>
      <c r="AH8">
        <v>11</v>
      </c>
      <c r="AI8">
        <v>9.82</v>
      </c>
      <c r="AJ8">
        <v>21.17</v>
      </c>
      <c r="AK8">
        <v>15.04</v>
      </c>
      <c r="AL8">
        <v>8.53</v>
      </c>
      <c r="AM8">
        <v>8.2</v>
      </c>
    </row>
    <row r="9" spans="2:39" ht="12.75">
      <c r="B9" s="71"/>
      <c r="C9" s="7" t="s">
        <v>9</v>
      </c>
      <c r="D9" s="81">
        <f>COUNT(Q9:EC9)</f>
        <v>23</v>
      </c>
      <c r="E9" s="44">
        <f>AVERAGE(Q9:EC9)</f>
        <v>105.75652173913042</v>
      </c>
      <c r="F9" s="44">
        <f t="shared" si="0"/>
        <v>3.0078717359365643</v>
      </c>
      <c r="G9" s="44">
        <f>STDEV(Q9:EC9)</f>
        <v>7.359954674203418</v>
      </c>
      <c r="H9" s="44">
        <f>QUARTILE(Q9:EC9,2)</f>
        <v>104.6</v>
      </c>
      <c r="I9" s="44">
        <f>MIN(Q9:EC9)</f>
        <v>91.1</v>
      </c>
      <c r="J9" s="44">
        <f>MAX(Q9:EC9)</f>
        <v>129.7</v>
      </c>
      <c r="K9" s="44">
        <f>PERCENTILE(Q9:EC9,0.95)</f>
        <v>115.80999999999999</v>
      </c>
      <c r="L9" s="104" t="str">
        <f>IF(AND(99&lt;=H9,H9&lt;=103),"A",IF(AND(98&lt;=H9,H9&lt;=105),"B",IF(H9&gt;90,"C",IF(H9&gt;80,"D","E"))))</f>
        <v>B</v>
      </c>
      <c r="N9" s="116" t="s">
        <v>91</v>
      </c>
      <c r="O9" s="108"/>
      <c r="P9" t="s">
        <v>91</v>
      </c>
      <c r="Q9">
        <v>100.1</v>
      </c>
      <c r="R9">
        <v>98.1</v>
      </c>
      <c r="S9">
        <v>91.1</v>
      </c>
      <c r="T9">
        <v>103.7</v>
      </c>
      <c r="U9">
        <v>104.6</v>
      </c>
      <c r="V9">
        <v>108.6</v>
      </c>
      <c r="W9">
        <v>116.1</v>
      </c>
      <c r="X9">
        <v>101.3</v>
      </c>
      <c r="Y9">
        <v>109.8</v>
      </c>
      <c r="Z9">
        <v>101.7</v>
      </c>
      <c r="AA9">
        <v>106.9</v>
      </c>
      <c r="AB9">
        <v>106.8</v>
      </c>
      <c r="AC9">
        <v>104.7</v>
      </c>
      <c r="AD9">
        <v>102.5</v>
      </c>
      <c r="AE9">
        <v>103</v>
      </c>
      <c r="AF9">
        <v>102.3</v>
      </c>
      <c r="AG9">
        <v>113.2</v>
      </c>
      <c r="AH9">
        <v>106.1</v>
      </c>
      <c r="AI9">
        <v>129.7</v>
      </c>
      <c r="AJ9">
        <v>107.8</v>
      </c>
      <c r="AK9">
        <v>102.7</v>
      </c>
      <c r="AL9">
        <v>101.5</v>
      </c>
      <c r="AM9">
        <v>110.1</v>
      </c>
    </row>
    <row r="10" spans="2:39" ht="12.75">
      <c r="B10" s="71"/>
      <c r="C10" s="6" t="s">
        <v>10</v>
      </c>
      <c r="D10" s="81">
        <f>COUNT(Q10:EC10)</f>
        <v>23</v>
      </c>
      <c r="E10" s="44">
        <f>AVERAGE(Q10:EC10)</f>
        <v>10.980434782608699</v>
      </c>
      <c r="F10" s="44">
        <f t="shared" si="0"/>
        <v>0.6465750147123567</v>
      </c>
      <c r="G10" s="44">
        <f>STDEV(Q10:EC10)</f>
        <v>1.5821029683214243</v>
      </c>
      <c r="H10" s="44">
        <f>QUARTILE(Q10:EC10,2)</f>
        <v>10.79</v>
      </c>
      <c r="I10" s="44">
        <f>MIN(Q10:EC10)</f>
        <v>8.42</v>
      </c>
      <c r="J10" s="44">
        <f>MAX(Q10:EC10)</f>
        <v>14.69</v>
      </c>
      <c r="K10" s="44">
        <f>PERCENTILE(Q10:EC10,0.95)</f>
        <v>13.62</v>
      </c>
      <c r="L10" s="102"/>
      <c r="N10" s="116" t="s">
        <v>92</v>
      </c>
      <c r="O10" s="108"/>
      <c r="P10" t="s">
        <v>92</v>
      </c>
      <c r="Q10">
        <v>9.66</v>
      </c>
      <c r="R10">
        <v>8.42</v>
      </c>
      <c r="S10">
        <v>9.22</v>
      </c>
      <c r="T10">
        <v>11.35</v>
      </c>
      <c r="U10">
        <v>10.48</v>
      </c>
      <c r="V10">
        <v>11.68</v>
      </c>
      <c r="W10">
        <v>13.69</v>
      </c>
      <c r="X10">
        <v>9.65</v>
      </c>
      <c r="Y10">
        <v>10.46</v>
      </c>
      <c r="Z10">
        <v>11.14</v>
      </c>
      <c r="AA10">
        <v>12.26</v>
      </c>
      <c r="AB10">
        <v>9.27</v>
      </c>
      <c r="AC10">
        <v>10.25</v>
      </c>
      <c r="AD10">
        <v>11.21</v>
      </c>
      <c r="AE10">
        <v>12.78</v>
      </c>
      <c r="AF10">
        <v>9.11</v>
      </c>
      <c r="AG10">
        <v>10.79</v>
      </c>
      <c r="AH10">
        <v>11.68</v>
      </c>
      <c r="AI10">
        <v>14.69</v>
      </c>
      <c r="AJ10">
        <v>9.57</v>
      </c>
      <c r="AK10">
        <v>10.34</v>
      </c>
      <c r="AL10">
        <v>11.86</v>
      </c>
      <c r="AM10">
        <v>12.99</v>
      </c>
    </row>
    <row r="11" spans="2:39" ht="12.75">
      <c r="B11" s="72"/>
      <c r="C11" s="95" t="s">
        <v>11</v>
      </c>
      <c r="D11" s="87">
        <f>COUNT(Q11:EC11)</f>
        <v>23</v>
      </c>
      <c r="E11" s="115">
        <f>AVERAGE(Q11:EC11)</f>
        <v>137.1782608695652</v>
      </c>
      <c r="F11" s="115">
        <f t="shared" si="0"/>
        <v>6.867693370270695</v>
      </c>
      <c r="G11" s="115">
        <f>STDEV(Q11:EC11)</f>
        <v>16.804543663754693</v>
      </c>
      <c r="H11" s="115">
        <f>QUARTILE(Q11:EC11,2)</f>
        <v>136</v>
      </c>
      <c r="I11" s="115">
        <f>MIN(Q11:EC11)</f>
        <v>108</v>
      </c>
      <c r="J11" s="115">
        <f>MAX(Q11:EC11)</f>
        <v>163.2</v>
      </c>
      <c r="K11" s="115">
        <f>PERCENTILE(Q11:EC11,0.95)</f>
        <v>160.9</v>
      </c>
      <c r="L11" s="105"/>
      <c r="N11" s="116" t="s">
        <v>93</v>
      </c>
      <c r="O11" s="108"/>
      <c r="P11" t="s">
        <v>93</v>
      </c>
      <c r="Q11">
        <v>117.9</v>
      </c>
      <c r="R11">
        <v>153.6</v>
      </c>
      <c r="S11">
        <v>163.2</v>
      </c>
      <c r="T11">
        <v>130.4</v>
      </c>
      <c r="U11">
        <v>115</v>
      </c>
      <c r="V11">
        <v>146</v>
      </c>
      <c r="W11">
        <v>144</v>
      </c>
      <c r="X11">
        <v>147</v>
      </c>
      <c r="Y11">
        <v>147</v>
      </c>
      <c r="Z11">
        <v>124</v>
      </c>
      <c r="AA11">
        <v>131</v>
      </c>
      <c r="AB11">
        <v>131</v>
      </c>
      <c r="AC11">
        <v>120</v>
      </c>
      <c r="AD11">
        <v>108</v>
      </c>
      <c r="AE11">
        <v>124</v>
      </c>
      <c r="AF11">
        <v>136</v>
      </c>
      <c r="AG11">
        <v>146</v>
      </c>
      <c r="AH11">
        <v>154</v>
      </c>
      <c r="AI11">
        <v>119</v>
      </c>
      <c r="AJ11">
        <v>160</v>
      </c>
      <c r="AK11">
        <v>161</v>
      </c>
      <c r="AL11">
        <v>120</v>
      </c>
      <c r="AM11">
        <v>157</v>
      </c>
    </row>
    <row r="12" spans="2:39" ht="12.75">
      <c r="B12" s="68" t="s">
        <v>105</v>
      </c>
      <c r="C12" s="4" t="s">
        <v>12</v>
      </c>
      <c r="D12" s="81">
        <f>COUNT(Q12:EC12)</f>
        <v>23</v>
      </c>
      <c r="E12" s="82">
        <f>AVERAGE(Q12:EC12)</f>
        <v>2.052608695652174</v>
      </c>
      <c r="F12" s="82">
        <f t="shared" si="0"/>
        <v>0.7931481599809302</v>
      </c>
      <c r="G12" s="82">
        <f>STDEV(Q12:EC12)</f>
        <v>1.940752472136199</v>
      </c>
      <c r="H12" s="82">
        <f>QUARTILE(Q12:EC12,2)</f>
        <v>1.63</v>
      </c>
      <c r="I12" s="82">
        <f>MIN(Q12:EC12)</f>
        <v>0.59</v>
      </c>
      <c r="J12" s="82">
        <f>MAX(Q12:EC12)</f>
        <v>10.2</v>
      </c>
      <c r="K12" s="82">
        <f>PERCENTILE(Q12:EC12,0.95)</f>
        <v>3.159</v>
      </c>
      <c r="L12" s="102" t="str">
        <f>IF(H12&lt;1,"A",IF(H12&lt;2,"B",IF(H12&lt;3,"C",IF(H12&lt;5,"D","E"))))</f>
        <v>B</v>
      </c>
      <c r="N12" s="116" t="s">
        <v>94</v>
      </c>
      <c r="O12" s="108"/>
      <c r="P12" t="s">
        <v>94</v>
      </c>
      <c r="Q12">
        <v>2.17</v>
      </c>
      <c r="R12">
        <v>2.12</v>
      </c>
      <c r="S12">
        <v>2.16</v>
      </c>
      <c r="T12">
        <v>1.14</v>
      </c>
      <c r="U12">
        <v>2.97</v>
      </c>
      <c r="V12">
        <v>1.3</v>
      </c>
      <c r="W12">
        <v>2.67</v>
      </c>
      <c r="X12">
        <v>2.57</v>
      </c>
      <c r="Y12">
        <v>0.7</v>
      </c>
      <c r="Z12">
        <v>0.59</v>
      </c>
      <c r="AA12">
        <v>0.62</v>
      </c>
      <c r="AB12">
        <v>1.63</v>
      </c>
      <c r="AC12">
        <v>0.6</v>
      </c>
      <c r="AD12">
        <v>10.2</v>
      </c>
      <c r="AE12">
        <v>2.13</v>
      </c>
      <c r="AF12">
        <v>1.09</v>
      </c>
      <c r="AG12">
        <v>1.19</v>
      </c>
      <c r="AH12">
        <v>1.43</v>
      </c>
      <c r="AI12">
        <v>0.9</v>
      </c>
      <c r="AJ12">
        <v>3.18</v>
      </c>
      <c r="AK12">
        <v>2.54</v>
      </c>
      <c r="AL12">
        <v>1.79</v>
      </c>
      <c r="AM12">
        <v>1.52</v>
      </c>
    </row>
    <row r="13" spans="2:39" ht="12.75">
      <c r="B13" s="71"/>
      <c r="C13" s="6" t="s">
        <v>13</v>
      </c>
      <c r="D13" s="81">
        <f>COUNT(Q13:EC13)</f>
        <v>23</v>
      </c>
      <c r="E13" s="44">
        <f>AVERAGE(Q13:EC13)</f>
        <v>3.029130434782609</v>
      </c>
      <c r="F13" s="44">
        <f t="shared" si="0"/>
        <v>0.5420178988628022</v>
      </c>
      <c r="G13" s="44">
        <f>STDEV(Q13:EC13)</f>
        <v>1.3262623936306466</v>
      </c>
      <c r="H13" s="44">
        <f>QUARTILE(Q13:EC13,2)</f>
        <v>3.1</v>
      </c>
      <c r="I13" s="44">
        <f>MIN(Q13:EC13)</f>
        <v>0.7</v>
      </c>
      <c r="J13" s="44">
        <f>MAX(Q13:EC13)</f>
        <v>7</v>
      </c>
      <c r="K13" s="44">
        <f>PERCENTILE(Q13:EC13,0.95)</f>
        <v>4.375</v>
      </c>
      <c r="L13" s="102" t="str">
        <f>IF(H13&gt;6,"A",IF(H13&gt;4,"B",IF(H13&gt;2.5,"C",IF(H13&gt;0.6,"D","E"))))</f>
        <v>C</v>
      </c>
      <c r="N13" s="116" t="s">
        <v>13</v>
      </c>
      <c r="O13" s="108"/>
      <c r="P13" t="s">
        <v>13</v>
      </c>
      <c r="Q13">
        <v>0.7</v>
      </c>
      <c r="R13">
        <v>1.9</v>
      </c>
      <c r="S13">
        <v>2</v>
      </c>
      <c r="T13">
        <v>3.85</v>
      </c>
      <c r="U13">
        <v>2.75</v>
      </c>
      <c r="V13">
        <v>2.37</v>
      </c>
      <c r="W13">
        <v>2.5</v>
      </c>
      <c r="X13">
        <v>1.7</v>
      </c>
      <c r="Y13">
        <v>3.1</v>
      </c>
      <c r="Z13">
        <v>7</v>
      </c>
      <c r="AA13">
        <v>4.4</v>
      </c>
      <c r="AB13">
        <v>3.8</v>
      </c>
      <c r="AC13">
        <v>4.15</v>
      </c>
      <c r="AD13">
        <v>1.1</v>
      </c>
      <c r="AE13">
        <v>3.7</v>
      </c>
      <c r="AF13">
        <v>3.3</v>
      </c>
      <c r="AG13">
        <v>2.85</v>
      </c>
      <c r="AH13">
        <v>3.4</v>
      </c>
      <c r="AI13">
        <v>3.3</v>
      </c>
      <c r="AJ13">
        <v>1.4</v>
      </c>
      <c r="AK13">
        <v>3.7</v>
      </c>
      <c r="AL13">
        <v>2.9</v>
      </c>
      <c r="AM13">
        <v>3.8</v>
      </c>
    </row>
    <row r="14" spans="2:39" ht="12.75">
      <c r="B14" s="72"/>
      <c r="C14" s="95" t="s">
        <v>14</v>
      </c>
      <c r="D14" s="87">
        <f>COUNT(Q14:EC14)</f>
        <v>23</v>
      </c>
      <c r="E14" s="115">
        <f>AVERAGE(Q14:EC14)</f>
        <v>2.6391304347826083</v>
      </c>
      <c r="F14" s="115">
        <f t="shared" si="0"/>
        <v>1.0395092393923802</v>
      </c>
      <c r="G14" s="115">
        <f>STDEV(Q14:EC14)</f>
        <v>2.543572850509654</v>
      </c>
      <c r="H14" s="115">
        <f>QUARTILE(Q14:EC14,2)</f>
        <v>2</v>
      </c>
      <c r="I14" s="115">
        <f>MIN(Q14:EC14)</f>
        <v>0.3</v>
      </c>
      <c r="J14" s="115">
        <f>MAX(Q14:EC14)</f>
        <v>10</v>
      </c>
      <c r="K14" s="115">
        <f>PERCENTILE(Q14:EC14,0.95)</f>
        <v>6.99</v>
      </c>
      <c r="L14" s="102"/>
      <c r="N14" s="116" t="s">
        <v>95</v>
      </c>
      <c r="O14" s="108"/>
      <c r="P14" t="s">
        <v>95</v>
      </c>
      <c r="Q14">
        <v>10</v>
      </c>
      <c r="R14">
        <v>3</v>
      </c>
      <c r="S14">
        <v>5</v>
      </c>
      <c r="T14">
        <v>2</v>
      </c>
      <c r="U14">
        <v>6.9</v>
      </c>
      <c r="V14">
        <v>2</v>
      </c>
      <c r="W14">
        <v>2</v>
      </c>
      <c r="X14">
        <v>2</v>
      </c>
      <c r="Y14">
        <v>1</v>
      </c>
      <c r="Z14">
        <v>0.3</v>
      </c>
      <c r="AA14">
        <v>0.5</v>
      </c>
      <c r="AB14">
        <v>1</v>
      </c>
      <c r="AC14">
        <v>2</v>
      </c>
      <c r="AD14">
        <v>7</v>
      </c>
      <c r="AE14">
        <v>2</v>
      </c>
      <c r="AF14">
        <v>1</v>
      </c>
      <c r="AG14">
        <v>1</v>
      </c>
      <c r="AH14">
        <v>0.3</v>
      </c>
      <c r="AI14">
        <v>1</v>
      </c>
      <c r="AJ14">
        <v>4</v>
      </c>
      <c r="AK14">
        <v>5</v>
      </c>
      <c r="AL14">
        <v>0.7</v>
      </c>
      <c r="AM14">
        <v>1</v>
      </c>
    </row>
    <row r="15" spans="2:39" ht="12.75">
      <c r="B15" s="208" t="s">
        <v>267</v>
      </c>
      <c r="C15" s="8" t="s">
        <v>268</v>
      </c>
      <c r="D15" s="81">
        <f>COUNT(Q15:EC15)</f>
        <v>23</v>
      </c>
      <c r="E15" s="40">
        <f>AVERAGE(Q15:EC15)</f>
        <v>313.9130434782609</v>
      </c>
      <c r="F15" s="40">
        <f t="shared" si="0"/>
        <v>260.6157009839865</v>
      </c>
      <c r="G15" s="40">
        <f>STDEV(Q15:EC15)</f>
        <v>637.6999802588474</v>
      </c>
      <c r="H15" s="40">
        <f>QUARTILE(Q15:EC15,2)</f>
        <v>135</v>
      </c>
      <c r="I15" s="40">
        <f>MIN(Q15:EC15)</f>
        <v>20</v>
      </c>
      <c r="J15" s="40">
        <f>MAX(Q15:EC15)</f>
        <v>3000</v>
      </c>
      <c r="K15" s="40">
        <f>PERCENTILE(Q15:EC15,0.95)</f>
        <v>1069.9999999999995</v>
      </c>
      <c r="L15" s="106" t="str">
        <f>IF(H15&lt;10,"A",IF(H15&lt;130,"B",IF(H15&lt;260,"C",IF(H15&lt;550,"D","E"))))</f>
        <v>C</v>
      </c>
      <c r="N15" s="116" t="s">
        <v>255</v>
      </c>
      <c r="O15" s="108"/>
      <c r="P15" t="s">
        <v>255</v>
      </c>
      <c r="Q15">
        <v>160</v>
      </c>
      <c r="R15">
        <v>260</v>
      </c>
      <c r="S15">
        <v>190</v>
      </c>
      <c r="T15">
        <v>110</v>
      </c>
      <c r="U15">
        <v>60</v>
      </c>
      <c r="V15">
        <v>20</v>
      </c>
      <c r="W15">
        <v>40</v>
      </c>
      <c r="X15">
        <v>155</v>
      </c>
      <c r="Y15">
        <v>150</v>
      </c>
      <c r="Z15">
        <v>135</v>
      </c>
      <c r="AA15">
        <v>90</v>
      </c>
      <c r="AB15">
        <v>40</v>
      </c>
      <c r="AC15">
        <v>1100</v>
      </c>
      <c r="AD15">
        <v>800</v>
      </c>
      <c r="AE15">
        <v>60</v>
      </c>
      <c r="AF15">
        <v>40</v>
      </c>
      <c r="AG15">
        <v>150</v>
      </c>
      <c r="AH15">
        <v>130</v>
      </c>
      <c r="AI15">
        <v>45</v>
      </c>
      <c r="AJ15">
        <v>235</v>
      </c>
      <c r="AK15">
        <v>60</v>
      </c>
      <c r="AL15">
        <v>190</v>
      </c>
      <c r="AM15">
        <v>3000</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92.9815</v>
      </c>
      <c r="F17" s="44">
        <f>CONFIDENCE(0.05,G17,D17)</f>
        <v>7.632109717516631</v>
      </c>
      <c r="G17" s="44">
        <f>STDEV(Q17:EC17)</f>
        <v>9.53832550818015</v>
      </c>
      <c r="H17" s="44">
        <f>QUARTILE(Q17:EC17,2)</f>
        <v>93</v>
      </c>
      <c r="I17" s="44">
        <f>MIN(Q17:EC17)</f>
        <v>78</v>
      </c>
      <c r="J17" s="44">
        <f>MAX(Q17:EC17)</f>
        <v>106</v>
      </c>
      <c r="K17" s="44">
        <f>PERCENTILE(Q17:EC17,0.95)</f>
        <v>104.25</v>
      </c>
      <c r="L17" s="102" t="str">
        <f>IF(H17&gt;120,"A",IF(H17&gt;100,"B",IF(H17&gt;80,"C",IF(H17&gt;60,"D","E"))))</f>
        <v>C</v>
      </c>
      <c r="N17" s="116" t="s">
        <v>17</v>
      </c>
      <c r="O17" s="108"/>
      <c r="P17" t="s">
        <v>17</v>
      </c>
      <c r="Q17">
        <v>95</v>
      </c>
      <c r="U17">
        <v>106</v>
      </c>
      <c r="X17">
        <v>99</v>
      </c>
      <c r="AB17">
        <v>91</v>
      </c>
      <c r="AF17">
        <v>78</v>
      </c>
      <c r="AJ17">
        <v>88.889</v>
      </c>
    </row>
    <row r="18" spans="2:36" ht="12.75">
      <c r="B18" s="74"/>
      <c r="C18" s="96" t="s">
        <v>18</v>
      </c>
      <c r="D18" s="81">
        <f>COUNT(Q18:EC18)</f>
        <v>6</v>
      </c>
      <c r="E18" s="44">
        <f>AVERAGE(Q18:EC18)</f>
        <v>4.272166666666666</v>
      </c>
      <c r="F18" s="44">
        <f>CONFIDENCE(0.05,G18,D18)</f>
        <v>0.40727039745072235</v>
      </c>
      <c r="G18" s="44">
        <f>STDEV(Q18:EC18)</f>
        <v>0.5089913227813118</v>
      </c>
      <c r="H18" s="44">
        <f>QUARTILE(Q18:EC18,2)</f>
        <v>4.275</v>
      </c>
      <c r="I18" s="44">
        <f>MIN(Q18:EC18)</f>
        <v>3.4</v>
      </c>
      <c r="J18" s="44">
        <f>MAX(Q18:EC18)</f>
        <v>4.98</v>
      </c>
      <c r="K18" s="44">
        <f>PERCENTILE(Q18:EC18,0.95)</f>
        <v>4.84825</v>
      </c>
      <c r="L18" s="105" t="str">
        <f>IF(H18&gt;6,"A",IF(H18&gt;5,"B",IF(H18&gt;4,"C",IF(H18&gt;3,"D","E"))))</f>
        <v>C</v>
      </c>
      <c r="N18" s="116" t="s">
        <v>18</v>
      </c>
      <c r="O18" s="108"/>
      <c r="P18" t="s">
        <v>18</v>
      </c>
      <c r="Q18">
        <v>4.25</v>
      </c>
      <c r="U18">
        <v>3.4</v>
      </c>
      <c r="X18">
        <v>4.98</v>
      </c>
      <c r="AB18">
        <v>4.26</v>
      </c>
      <c r="AF18">
        <v>4.29</v>
      </c>
      <c r="AJ18">
        <v>4.453</v>
      </c>
    </row>
    <row r="19" spans="2:36" ht="12.75">
      <c r="B19" s="71" t="s">
        <v>106</v>
      </c>
      <c r="C19" s="7" t="s">
        <v>19</v>
      </c>
      <c r="D19" s="86">
        <f>COUNT(Q19:EC19)</f>
        <v>7</v>
      </c>
      <c r="E19" s="113">
        <f>AVERAGE(Q19:EC19)</f>
        <v>7.885000000000001</v>
      </c>
      <c r="F19" s="113">
        <f>CONFIDENCE(0.05,G19,D19)</f>
        <v>0.4583121792866671</v>
      </c>
      <c r="G19" s="113">
        <f>STDEV(Q19:EC19)</f>
        <v>0.6186746587127345</v>
      </c>
      <c r="H19" s="113">
        <f>QUARTILE(Q19:EC19,2)</f>
        <v>8.125</v>
      </c>
      <c r="I19" s="113">
        <f>MIN(Q19:EC19)</f>
        <v>6.59</v>
      </c>
      <c r="J19" s="113">
        <f>MAX(Q19:EC19)</f>
        <v>8.4</v>
      </c>
      <c r="K19" s="113">
        <f>PERCENTILE(Q19:EC19,0.95)</f>
        <v>8.370000000000001</v>
      </c>
      <c r="L19" s="102" t="str">
        <f>IF(H19&gt;8,"A",IF(H19&gt;6,"B",IF(H19&gt;4,"C",IF(H19&gt;2,"D","E"))))</f>
        <v>A</v>
      </c>
      <c r="N19" s="116" t="s">
        <v>96</v>
      </c>
      <c r="O19" s="108"/>
      <c r="P19" t="s">
        <v>96</v>
      </c>
      <c r="R19">
        <v>6.59</v>
      </c>
      <c r="S19">
        <v>7.73</v>
      </c>
      <c r="T19">
        <v>7.85</v>
      </c>
      <c r="X19">
        <v>8.2</v>
      </c>
      <c r="AB19">
        <v>8.4</v>
      </c>
      <c r="AF19">
        <v>8.3</v>
      </c>
      <c r="AJ19">
        <v>8.125</v>
      </c>
    </row>
    <row r="20" spans="2:36" ht="12.75">
      <c r="B20" s="72"/>
      <c r="C20" s="97" t="s">
        <v>122</v>
      </c>
      <c r="D20" s="87">
        <f>COUNT(Q20:EC20)</f>
        <v>4</v>
      </c>
      <c r="E20" s="114">
        <f>AVERAGE(Q20:EC20)</f>
        <v>5.775</v>
      </c>
      <c r="F20" s="114">
        <f>CONFIDENCE(0.05,G20,D20)</f>
        <v>5.278198536732316</v>
      </c>
      <c r="G20" s="114">
        <f>STDEV(Q20:EC20)</f>
        <v>5.38601584352169</v>
      </c>
      <c r="H20" s="114">
        <f>QUARTILE(Q20:EC20,2)</f>
        <v>5.9</v>
      </c>
      <c r="I20" s="114">
        <f>MIN(Q20:EC20)</f>
        <v>0</v>
      </c>
      <c r="J20" s="114">
        <f>MAX(Q20:EC20)</f>
        <v>11.3</v>
      </c>
      <c r="K20" s="114">
        <f>PERCENTILE(Q20:EC20,0.95)</f>
        <v>11</v>
      </c>
      <c r="L20" s="105"/>
      <c r="N20" s="116" t="s">
        <v>97</v>
      </c>
      <c r="O20" s="108"/>
      <c r="P20" t="s">
        <v>97</v>
      </c>
      <c r="X20">
        <v>0</v>
      </c>
      <c r="AB20">
        <v>9.3</v>
      </c>
      <c r="AF20">
        <v>11.3</v>
      </c>
      <c r="AJ20">
        <v>2.5</v>
      </c>
    </row>
    <row r="21" spans="2:15" ht="12.75">
      <c r="B21" s="71" t="s">
        <v>112</v>
      </c>
      <c r="C21" s="118" t="s">
        <v>21</v>
      </c>
      <c r="D21">
        <v>3</v>
      </c>
      <c r="E21" s="157">
        <v>0.2833333333333334</v>
      </c>
      <c r="F21" t="s">
        <v>143</v>
      </c>
      <c r="G21" t="s">
        <v>143</v>
      </c>
      <c r="H21" t="s">
        <v>143</v>
      </c>
      <c r="I21">
        <v>0.05</v>
      </c>
      <c r="J21">
        <v>0.6</v>
      </c>
      <c r="K21" s="143"/>
      <c r="L21" s="144" t="str">
        <f>IF(E21&gt;=H52,"E","A - D")</f>
        <v>A - D</v>
      </c>
      <c r="O21" s="108"/>
    </row>
    <row r="22" spans="2:15" ht="12.75">
      <c r="B22" s="73" t="s">
        <v>111</v>
      </c>
      <c r="C22" s="122" t="s">
        <v>22</v>
      </c>
      <c r="D22">
        <v>3</v>
      </c>
      <c r="E22" s="157">
        <v>43.333333333333336</v>
      </c>
      <c r="F22" t="s">
        <v>143</v>
      </c>
      <c r="G22" t="s">
        <v>143</v>
      </c>
      <c r="H22" t="s">
        <v>143</v>
      </c>
      <c r="I22">
        <v>38</v>
      </c>
      <c r="J22">
        <v>46</v>
      </c>
      <c r="K22" s="145"/>
      <c r="L22" s="144" t="str">
        <f>IF(E22&gt;=H53,"E","A - D")</f>
        <v>A - D</v>
      </c>
      <c r="N22" s="111"/>
      <c r="O22" s="108"/>
    </row>
    <row r="23" spans="2:15" ht="12.75">
      <c r="B23" s="73"/>
      <c r="C23" s="122" t="s">
        <v>23</v>
      </c>
      <c r="D23">
        <v>3</v>
      </c>
      <c r="E23" s="157">
        <v>38</v>
      </c>
      <c r="F23" t="s">
        <v>143</v>
      </c>
      <c r="G23" t="s">
        <v>143</v>
      </c>
      <c r="H23" t="s">
        <v>143</v>
      </c>
      <c r="I23">
        <v>26</v>
      </c>
      <c r="J23">
        <v>54</v>
      </c>
      <c r="K23" s="145"/>
      <c r="L23" s="144" t="str">
        <f>IF(E23&gt;=H54,"E","A - D")</f>
        <v>A - D</v>
      </c>
      <c r="N23" s="111"/>
      <c r="O23" s="108"/>
    </row>
    <row r="24" spans="2:15" ht="12.75">
      <c r="B24" s="73"/>
      <c r="C24" s="122" t="s">
        <v>24</v>
      </c>
      <c r="D24">
        <v>3</v>
      </c>
      <c r="E24" s="157">
        <v>196.66666666666669</v>
      </c>
      <c r="F24" t="s">
        <v>143</v>
      </c>
      <c r="G24" t="s">
        <v>143</v>
      </c>
      <c r="H24" t="s">
        <v>143</v>
      </c>
      <c r="I24">
        <v>110</v>
      </c>
      <c r="J24">
        <v>300</v>
      </c>
      <c r="K24" s="145"/>
      <c r="L24" s="144" t="str">
        <f>IF(E24&gt;=H55,"E","A - D")</f>
        <v>A - D</v>
      </c>
      <c r="N24" s="111"/>
      <c r="O24" s="108"/>
    </row>
    <row r="25" spans="2:15" ht="12.75">
      <c r="B25" s="71"/>
      <c r="C25" s="122"/>
      <c r="K25" s="145"/>
      <c r="L25" s="144"/>
      <c r="O25" s="108"/>
    </row>
    <row r="26" spans="2:15" ht="12.75">
      <c r="B26" s="71"/>
      <c r="C26" s="122" t="s">
        <v>28</v>
      </c>
      <c r="D26">
        <v>3</v>
      </c>
      <c r="E26" s="23">
        <v>0.055</v>
      </c>
      <c r="F26" s="23" t="s">
        <v>143</v>
      </c>
      <c r="G26" s="23" t="s">
        <v>143</v>
      </c>
      <c r="H26" s="23" t="s">
        <v>143</v>
      </c>
      <c r="I26" s="23">
        <v>0.015</v>
      </c>
      <c r="J26" s="23">
        <v>0.1</v>
      </c>
      <c r="K26" s="145"/>
      <c r="L26" s="144" t="str">
        <f aca="true" t="shared" si="1" ref="L26:L41">IF(E26&gt;=H57,"E","A - D")</f>
        <v>E</v>
      </c>
      <c r="O26" s="108"/>
    </row>
    <row r="27" spans="2:15" ht="12.75">
      <c r="B27" s="73"/>
      <c r="C27" s="122" t="s">
        <v>29</v>
      </c>
      <c r="D27">
        <v>3</v>
      </c>
      <c r="E27" s="23">
        <v>0.17438042620363065</v>
      </c>
      <c r="F27" s="23" t="s">
        <v>143</v>
      </c>
      <c r="G27" s="23" t="s">
        <v>143</v>
      </c>
      <c r="H27" s="23" t="s">
        <v>143</v>
      </c>
      <c r="I27" s="23">
        <v>0.05</v>
      </c>
      <c r="J27" s="23">
        <v>0.41</v>
      </c>
      <c r="K27" s="143"/>
      <c r="L27" s="144" t="str">
        <f t="shared" si="1"/>
        <v>A - D</v>
      </c>
      <c r="O27" s="108"/>
    </row>
    <row r="28" spans="2:15" ht="12.75">
      <c r="B28" s="73"/>
      <c r="C28" s="122" t="s">
        <v>30</v>
      </c>
      <c r="D28">
        <v>3</v>
      </c>
      <c r="E28" s="23">
        <v>0.06666666666666667</v>
      </c>
      <c r="F28" s="23" t="s">
        <v>143</v>
      </c>
      <c r="G28" s="23" t="s">
        <v>143</v>
      </c>
      <c r="H28" s="23" t="s">
        <v>143</v>
      </c>
      <c r="I28" s="23">
        <v>0.05</v>
      </c>
      <c r="J28" s="23">
        <v>0.1</v>
      </c>
      <c r="K28" s="143"/>
      <c r="L28" s="144" t="str">
        <f t="shared" si="1"/>
        <v>A - D</v>
      </c>
      <c r="O28" s="108"/>
    </row>
    <row r="29" spans="2:15" ht="12.75">
      <c r="B29" s="127"/>
      <c r="C29" s="128" t="s">
        <v>31</v>
      </c>
      <c r="E29" s="23">
        <v>0.2960470928702973</v>
      </c>
      <c r="F29" s="23"/>
      <c r="G29" s="23"/>
      <c r="H29" s="23"/>
      <c r="I29" s="23"/>
      <c r="J29" s="23"/>
      <c r="K29" s="147"/>
      <c r="L29" s="144" t="str">
        <f t="shared" si="1"/>
        <v>A - D</v>
      </c>
      <c r="O29" s="108"/>
    </row>
    <row r="30" spans="2:15" ht="12.75">
      <c r="B30" s="73"/>
      <c r="C30" s="122" t="s">
        <v>32</v>
      </c>
      <c r="D30">
        <v>3</v>
      </c>
      <c r="E30" s="23">
        <v>0.9063000964658423</v>
      </c>
      <c r="F30" s="23" t="s">
        <v>143</v>
      </c>
      <c r="G30" s="23" t="s">
        <v>143</v>
      </c>
      <c r="H30" s="23" t="s">
        <v>143</v>
      </c>
      <c r="I30" s="23">
        <v>0.17890028939752695</v>
      </c>
      <c r="J30" s="23">
        <v>2</v>
      </c>
      <c r="K30" s="143"/>
      <c r="L30" s="144" t="str">
        <f t="shared" si="1"/>
        <v>E</v>
      </c>
      <c r="O30" s="108"/>
    </row>
    <row r="31" spans="2:15" ht="12.75">
      <c r="B31" s="81"/>
      <c r="C31" s="122" t="s">
        <v>33</v>
      </c>
      <c r="D31">
        <v>3</v>
      </c>
      <c r="E31" s="23">
        <v>0.9063000964658423</v>
      </c>
      <c r="F31" s="23" t="s">
        <v>143</v>
      </c>
      <c r="G31" s="23" t="s">
        <v>143</v>
      </c>
      <c r="H31" s="23" t="s">
        <v>143</v>
      </c>
      <c r="I31" s="23">
        <v>0.17890028939752695</v>
      </c>
      <c r="J31" s="23">
        <v>2</v>
      </c>
      <c r="K31" s="143"/>
      <c r="L31" s="144" t="str">
        <f t="shared" si="1"/>
        <v>E</v>
      </c>
      <c r="O31" s="108"/>
    </row>
    <row r="32" spans="2:15" ht="12.75">
      <c r="B32" s="81"/>
      <c r="C32" s="122" t="s">
        <v>34</v>
      </c>
      <c r="D32">
        <v>3</v>
      </c>
      <c r="E32" s="23">
        <v>0.12139612382706308</v>
      </c>
      <c r="F32" s="23" t="s">
        <v>143</v>
      </c>
      <c r="G32" s="23" t="s">
        <v>143</v>
      </c>
      <c r="H32" s="23" t="s">
        <v>143</v>
      </c>
      <c r="I32" s="23">
        <v>0.05</v>
      </c>
      <c r="J32" s="23">
        <v>0.23</v>
      </c>
      <c r="K32" s="143"/>
      <c r="L32" s="144" t="str">
        <f t="shared" si="1"/>
        <v>A - D</v>
      </c>
      <c r="O32" s="108"/>
    </row>
    <row r="33" spans="2:15" ht="12.75">
      <c r="B33" s="81"/>
      <c r="C33" s="122" t="s">
        <v>35</v>
      </c>
      <c r="D33">
        <v>3</v>
      </c>
      <c r="E33" s="23">
        <v>0.43507848811716254</v>
      </c>
      <c r="F33" s="23" t="s">
        <v>143</v>
      </c>
      <c r="G33" s="23" t="s">
        <v>143</v>
      </c>
      <c r="H33" s="23" t="s">
        <v>143</v>
      </c>
      <c r="I33" s="23">
        <v>0.10523546435148644</v>
      </c>
      <c r="J33" s="23">
        <v>1</v>
      </c>
      <c r="K33" s="150"/>
      <c r="L33" s="144" t="str">
        <f t="shared" si="1"/>
        <v>E</v>
      </c>
      <c r="O33" s="108"/>
    </row>
    <row r="34" spans="2:15" ht="12.75">
      <c r="B34" s="81"/>
      <c r="C34" s="122" t="s">
        <v>36</v>
      </c>
      <c r="D34">
        <v>3</v>
      </c>
      <c r="E34" s="23">
        <v>0.472617732175743</v>
      </c>
      <c r="F34" s="23" t="s">
        <v>143</v>
      </c>
      <c r="G34" s="23" t="s">
        <v>143</v>
      </c>
      <c r="H34" s="23" t="s">
        <v>143</v>
      </c>
      <c r="I34" s="23">
        <v>0.15785319652722965</v>
      </c>
      <c r="J34" s="23">
        <v>1</v>
      </c>
      <c r="K34" s="151"/>
      <c r="L34" s="144" t="str">
        <f t="shared" si="1"/>
        <v>A - D</v>
      </c>
      <c r="O34" s="108"/>
    </row>
    <row r="35" spans="2:15" ht="12.75">
      <c r="B35" s="81"/>
      <c r="C35" s="122" t="s">
        <v>37</v>
      </c>
      <c r="D35">
        <v>3</v>
      </c>
      <c r="E35" s="23">
        <v>0.39087257739191456</v>
      </c>
      <c r="F35" s="23" t="s">
        <v>143</v>
      </c>
      <c r="G35" s="23" t="s">
        <v>143</v>
      </c>
      <c r="H35" s="23" t="s">
        <v>143</v>
      </c>
      <c r="I35" s="23">
        <v>0.05261773217574322</v>
      </c>
      <c r="J35" s="23">
        <v>1</v>
      </c>
      <c r="K35" s="147"/>
      <c r="L35" s="144" t="str">
        <f t="shared" si="1"/>
        <v>A - D</v>
      </c>
      <c r="O35" s="108"/>
    </row>
    <row r="36" spans="2:15" ht="12.75">
      <c r="B36" s="81"/>
      <c r="C36" s="122" t="s">
        <v>38</v>
      </c>
      <c r="D36">
        <v>3</v>
      </c>
      <c r="E36" s="23">
        <v>0.44209418574059445</v>
      </c>
      <c r="F36" s="23" t="s">
        <v>143</v>
      </c>
      <c r="G36" s="23" t="s">
        <v>143</v>
      </c>
      <c r="H36" s="23" t="s">
        <v>143</v>
      </c>
      <c r="I36" s="23">
        <v>0.12628255722178372</v>
      </c>
      <c r="J36" s="23">
        <v>1</v>
      </c>
      <c r="K36" s="147"/>
      <c r="L36" s="144" t="str">
        <f t="shared" si="1"/>
        <v>E</v>
      </c>
      <c r="O36" s="108"/>
    </row>
    <row r="37" spans="2:15" ht="12.75">
      <c r="B37" s="81"/>
      <c r="C37" s="122" t="s">
        <v>39</v>
      </c>
      <c r="D37">
        <v>3</v>
      </c>
      <c r="E37" s="23">
        <v>0.015523546435148666</v>
      </c>
      <c r="F37" s="23" t="s">
        <v>143</v>
      </c>
      <c r="G37" s="23" t="s">
        <v>143</v>
      </c>
      <c r="H37" s="23" t="s">
        <v>143</v>
      </c>
      <c r="I37" s="23">
        <v>0</v>
      </c>
      <c r="J37" s="23">
        <v>0.03157063930544593</v>
      </c>
      <c r="K37" s="147"/>
      <c r="L37" s="144" t="str">
        <f t="shared" si="1"/>
        <v>A - D</v>
      </c>
      <c r="O37" s="108"/>
    </row>
    <row r="38" spans="2:15" ht="12.75">
      <c r="B38" s="81"/>
      <c r="C38" s="122" t="s">
        <v>40</v>
      </c>
      <c r="D38">
        <v>3</v>
      </c>
      <c r="E38" s="23">
        <v>0.11490397263877913</v>
      </c>
      <c r="F38" s="23" t="s">
        <v>143</v>
      </c>
      <c r="G38" s="23" t="s">
        <v>143</v>
      </c>
      <c r="H38" s="23" t="s">
        <v>143</v>
      </c>
      <c r="I38" s="23">
        <v>0.09471191791633779</v>
      </c>
      <c r="J38" s="23">
        <v>0.15</v>
      </c>
      <c r="K38" s="147"/>
      <c r="L38" s="144"/>
      <c r="O38" s="108"/>
    </row>
    <row r="39" spans="2:15" ht="12.75">
      <c r="B39" s="81"/>
      <c r="C39" s="122" t="s">
        <v>41</v>
      </c>
      <c r="D39">
        <v>3</v>
      </c>
      <c r="E39" s="23">
        <v>0.10122160834867985</v>
      </c>
      <c r="F39" s="23" t="s">
        <v>143</v>
      </c>
      <c r="G39" s="23" t="s">
        <v>143</v>
      </c>
      <c r="H39" s="23" t="s">
        <v>143</v>
      </c>
      <c r="I39" s="23">
        <v>0.07366482504604051</v>
      </c>
      <c r="J39" s="23">
        <v>0.13</v>
      </c>
      <c r="K39" s="147"/>
      <c r="L39" s="144" t="str">
        <f t="shared" si="1"/>
        <v>E</v>
      </c>
      <c r="O39" s="108"/>
    </row>
    <row r="40" spans="2:15" ht="12.75">
      <c r="B40" s="127"/>
      <c r="C40" s="128" t="s">
        <v>42</v>
      </c>
      <c r="E40" s="23">
        <v>3.9063084276067697</v>
      </c>
      <c r="F40" s="23"/>
      <c r="G40" s="23"/>
      <c r="H40" s="23"/>
      <c r="I40" s="23"/>
      <c r="J40" s="23"/>
      <c r="K40" s="147"/>
      <c r="L40" s="144" t="str">
        <f t="shared" si="1"/>
        <v>E</v>
      </c>
      <c r="O40" s="108"/>
    </row>
    <row r="41" spans="2:15" ht="12.75">
      <c r="B41" s="127"/>
      <c r="C41" s="131" t="s">
        <v>43</v>
      </c>
      <c r="E41" s="23">
        <v>4.202355520477067</v>
      </c>
      <c r="F41" s="23"/>
      <c r="G41" s="23"/>
      <c r="H41" s="23"/>
      <c r="I41" s="23"/>
      <c r="J41" s="23"/>
      <c r="K41" s="147"/>
      <c r="L41" s="144" t="str">
        <f t="shared" si="1"/>
        <v>E</v>
      </c>
      <c r="O41" s="108"/>
    </row>
    <row r="42" spans="2:15" ht="12.75">
      <c r="B42" s="81"/>
      <c r="C42" s="122" t="s">
        <v>44</v>
      </c>
      <c r="D42">
        <v>3</v>
      </c>
      <c r="E42" s="23">
        <v>0.260470928702973</v>
      </c>
      <c r="F42" s="23" t="s">
        <v>143</v>
      </c>
      <c r="G42" s="23" t="s">
        <v>143</v>
      </c>
      <c r="H42" s="23" t="s">
        <v>143</v>
      </c>
      <c r="I42" s="23">
        <v>0</v>
      </c>
      <c r="J42" s="23">
        <v>0.6314127861089186</v>
      </c>
      <c r="K42" s="147"/>
      <c r="L42" s="152"/>
      <c r="O42" s="108"/>
    </row>
    <row r="43" spans="2:15" ht="13.5" thickBot="1">
      <c r="B43" s="83"/>
      <c r="C43" s="133"/>
      <c r="D43" s="134"/>
      <c r="E43" s="84"/>
      <c r="F43" s="84"/>
      <c r="G43" s="84"/>
      <c r="H43" s="84"/>
      <c r="I43" s="84"/>
      <c r="J43" s="84"/>
      <c r="K43" s="84"/>
      <c r="L43" s="135"/>
      <c r="O43" s="108"/>
    </row>
    <row r="44" spans="2:12" ht="12.75">
      <c r="B44" s="80"/>
      <c r="C44" s="89"/>
      <c r="D44" s="89"/>
      <c r="E44" s="89"/>
      <c r="F44" s="89"/>
      <c r="G44" s="89"/>
      <c r="H44" s="89"/>
      <c r="I44" s="89"/>
      <c r="J44" s="89"/>
      <c r="K44" s="89"/>
      <c r="L44" s="100"/>
    </row>
    <row r="45" spans="2:12" ht="12.75">
      <c r="B45" s="210" t="s">
        <v>119</v>
      </c>
      <c r="C45" s="211"/>
      <c r="D45" s="211"/>
      <c r="E45" s="211"/>
      <c r="F45" s="211"/>
      <c r="G45" s="76" t="str">
        <f>'Combined Score Calcs'!O10</f>
        <v>D</v>
      </c>
      <c r="H45" s="39"/>
      <c r="I45" s="39"/>
      <c r="J45" s="39"/>
      <c r="K45" s="99"/>
      <c r="L45" s="90"/>
    </row>
    <row r="46" spans="2:12" ht="13.5" thickBot="1">
      <c r="B46" s="83"/>
      <c r="C46" s="84"/>
      <c r="D46" s="84"/>
      <c r="E46" s="84"/>
      <c r="F46" s="84"/>
      <c r="G46" s="84"/>
      <c r="H46" s="84"/>
      <c r="I46" s="84"/>
      <c r="J46" s="84"/>
      <c r="K46" s="84"/>
      <c r="L46" s="91"/>
    </row>
    <row r="47" ht="12.75">
      <c r="L47" s="60"/>
    </row>
    <row r="48" ht="12.75">
      <c r="L48" s="60"/>
    </row>
    <row r="49" ht="12.75">
      <c r="L49" s="60"/>
    </row>
    <row r="50" ht="12.75">
      <c r="L50" s="60"/>
    </row>
    <row r="51" spans="7:12" ht="12.75">
      <c r="G51" t="s">
        <v>140</v>
      </c>
      <c r="H51" t="s">
        <v>141</v>
      </c>
      <c r="L51" s="60"/>
    </row>
    <row r="52" spans="7:12" ht="12.75">
      <c r="G52" s="118" t="s">
        <v>21</v>
      </c>
      <c r="H52" s="136">
        <v>1.5</v>
      </c>
      <c r="I52" s="137">
        <v>10</v>
      </c>
      <c r="L52" s="60"/>
    </row>
    <row r="53" spans="7:12" ht="12.75">
      <c r="G53" s="122" t="s">
        <v>22</v>
      </c>
      <c r="H53" s="137">
        <v>65</v>
      </c>
      <c r="I53" s="137">
        <v>270</v>
      </c>
      <c r="L53" s="60"/>
    </row>
    <row r="54" spans="7:12" ht="12.75">
      <c r="G54" s="122" t="s">
        <v>23</v>
      </c>
      <c r="H54" s="137">
        <v>50</v>
      </c>
      <c r="I54" s="137">
        <v>220</v>
      </c>
      <c r="L54" s="60"/>
    </row>
    <row r="55" spans="7:12" ht="12.75">
      <c r="G55" s="122" t="s">
        <v>24</v>
      </c>
      <c r="H55" s="137">
        <v>200</v>
      </c>
      <c r="I55" s="137">
        <v>210</v>
      </c>
      <c r="L55" s="60"/>
    </row>
    <row r="56" spans="7:12" ht="12.75">
      <c r="G56" s="122"/>
      <c r="H56" t="s">
        <v>137</v>
      </c>
      <c r="I56" t="s">
        <v>138</v>
      </c>
      <c r="L56" s="60"/>
    </row>
    <row r="57" spans="7:12" ht="12.75">
      <c r="G57" s="122" t="s">
        <v>28</v>
      </c>
      <c r="H57" s="138">
        <v>0.019</v>
      </c>
      <c r="I57" s="139">
        <v>0.54</v>
      </c>
      <c r="L57" s="60"/>
    </row>
    <row r="58" spans="7:12" ht="12.75">
      <c r="G58" s="122" t="s">
        <v>29</v>
      </c>
      <c r="H58" s="138">
        <v>0.24</v>
      </c>
      <c r="I58" s="139">
        <v>1.5</v>
      </c>
      <c r="L58" s="60"/>
    </row>
    <row r="59" spans="7:12" ht="12.75">
      <c r="G59" s="122" t="s">
        <v>30</v>
      </c>
      <c r="H59" s="138">
        <v>0.085</v>
      </c>
      <c r="I59" s="139">
        <v>1.1</v>
      </c>
      <c r="L59" s="60"/>
    </row>
    <row r="60" spans="7:12" ht="12.75">
      <c r="G60" s="128" t="s">
        <v>31</v>
      </c>
      <c r="H60" s="138">
        <v>0.552</v>
      </c>
      <c r="I60" s="139">
        <v>3.16</v>
      </c>
      <c r="L60" s="60"/>
    </row>
    <row r="61" spans="7:12" ht="12.75">
      <c r="G61" s="122" t="s">
        <v>32</v>
      </c>
      <c r="H61" s="138">
        <v>0.6</v>
      </c>
      <c r="I61" s="139">
        <v>5.1</v>
      </c>
      <c r="L61" s="60"/>
    </row>
    <row r="62" spans="7:12" ht="12.75">
      <c r="G62" s="122" t="s">
        <v>33</v>
      </c>
      <c r="H62" s="138">
        <v>0.665</v>
      </c>
      <c r="I62" s="139">
        <v>2.6</v>
      </c>
      <c r="L62" s="60"/>
    </row>
    <row r="63" spans="7:12" ht="12.75">
      <c r="G63" s="122" t="s">
        <v>34</v>
      </c>
      <c r="H63" s="138">
        <v>0.261</v>
      </c>
      <c r="I63" s="139">
        <v>1.6</v>
      </c>
      <c r="L63" s="60"/>
    </row>
    <row r="64" spans="7:12" ht="12.75">
      <c r="G64" s="122" t="s">
        <v>35</v>
      </c>
      <c r="H64" s="138">
        <v>0.384</v>
      </c>
      <c r="I64" s="139">
        <v>2.8</v>
      </c>
      <c r="L64" s="60"/>
    </row>
    <row r="65" spans="7:12" ht="12.75">
      <c r="G65" s="122" t="s">
        <v>36</v>
      </c>
      <c r="H65" s="138">
        <v>0.8</v>
      </c>
      <c r="I65" s="139">
        <v>8</v>
      </c>
      <c r="L65" s="60"/>
    </row>
    <row r="66" spans="7:9" ht="12.75">
      <c r="G66" s="122" t="s">
        <v>37</v>
      </c>
      <c r="H66" s="138">
        <v>0.8</v>
      </c>
      <c r="I66" s="139">
        <v>8</v>
      </c>
    </row>
    <row r="67" spans="7:9" ht="12.75">
      <c r="G67" s="122" t="s">
        <v>38</v>
      </c>
      <c r="H67" s="138">
        <v>0.43</v>
      </c>
      <c r="I67" s="139">
        <v>1.6</v>
      </c>
    </row>
    <row r="68" spans="7:9" ht="12.75">
      <c r="G68" s="122" t="s">
        <v>39</v>
      </c>
      <c r="H68" s="138">
        <v>0.063</v>
      </c>
      <c r="I68" s="139">
        <v>0.26</v>
      </c>
    </row>
    <row r="69" spans="7:9" ht="12.75">
      <c r="G69" s="122" t="s">
        <v>40</v>
      </c>
      <c r="H69" s="138" t="s">
        <v>139</v>
      </c>
      <c r="I69" s="139" t="s">
        <v>139</v>
      </c>
    </row>
    <row r="70" spans="7:9" ht="12.75">
      <c r="G70" s="122" t="s">
        <v>41</v>
      </c>
      <c r="H70" s="138">
        <v>0.069</v>
      </c>
      <c r="I70" s="139">
        <v>5.2</v>
      </c>
    </row>
    <row r="71" spans="7:9" ht="12.75">
      <c r="G71" s="128" t="s">
        <v>42</v>
      </c>
      <c r="H71" s="138">
        <v>1.7</v>
      </c>
      <c r="I71" s="139">
        <v>9.6</v>
      </c>
    </row>
    <row r="72" spans="7:9" ht="12.75">
      <c r="G72" s="131" t="s">
        <v>43</v>
      </c>
      <c r="H72" s="138">
        <v>4</v>
      </c>
      <c r="I72" s="139">
        <v>45</v>
      </c>
    </row>
    <row r="73" ht="12.75">
      <c r="G73" s="122" t="s">
        <v>44</v>
      </c>
    </row>
  </sheetData>
  <mergeCells count="1">
    <mergeCell ref="B45:F45"/>
  </mergeCells>
  <printOptions/>
  <pageMargins left="0.75" right="0.75" top="1" bottom="1" header="0.5" footer="0.5"/>
  <pageSetup horizontalDpi="600" verticalDpi="600" orientation="portrait" paperSize="133" r:id="rId1"/>
</worksheet>
</file>

<file path=xl/worksheets/sheet19.xml><?xml version="1.0" encoding="utf-8"?>
<worksheet xmlns="http://schemas.openxmlformats.org/spreadsheetml/2006/main" xmlns:r="http://schemas.openxmlformats.org/officeDocument/2006/relationships">
  <dimension ref="B1:AQ73"/>
  <sheetViews>
    <sheetView workbookViewId="0" topLeftCell="B1">
      <selection activeCell="L46" sqref="B3:L46"/>
    </sheetView>
  </sheetViews>
  <sheetFormatPr defaultColWidth="9.140625" defaultRowHeight="12.75"/>
  <cols>
    <col min="3" max="3" width="28.7109375" style="0" bestFit="1" customWidth="1"/>
    <col min="14" max="14" width="34.140625" style="0" customWidth="1"/>
    <col min="16" max="16" width="33.57421875" style="0" customWidth="1"/>
  </cols>
  <sheetData>
    <row r="1" spans="2:15" ht="15.75">
      <c r="B1" s="107" t="s">
        <v>147</v>
      </c>
      <c r="O1" s="109" t="s">
        <v>125</v>
      </c>
    </row>
    <row r="2" spans="12:39" ht="13.5" thickBot="1">
      <c r="L2" s="60"/>
      <c r="N2" s="116" t="s">
        <v>84</v>
      </c>
      <c r="O2" s="110"/>
      <c r="P2" t="s">
        <v>84</v>
      </c>
      <c r="Q2" t="s">
        <v>52</v>
      </c>
      <c r="R2" t="s">
        <v>52</v>
      </c>
      <c r="S2" t="s">
        <v>52</v>
      </c>
      <c r="T2" t="s">
        <v>52</v>
      </c>
      <c r="U2" t="s">
        <v>52</v>
      </c>
      <c r="V2" t="s">
        <v>52</v>
      </c>
      <c r="W2" t="s">
        <v>52</v>
      </c>
      <c r="X2" t="s">
        <v>52</v>
      </c>
      <c r="Y2" t="s">
        <v>52</v>
      </c>
      <c r="Z2" t="s">
        <v>52</v>
      </c>
      <c r="AA2" t="s">
        <v>52</v>
      </c>
      <c r="AB2" t="s">
        <v>52</v>
      </c>
      <c r="AC2" t="s">
        <v>52</v>
      </c>
      <c r="AD2" t="s">
        <v>52</v>
      </c>
      <c r="AE2" t="s">
        <v>52</v>
      </c>
      <c r="AF2" t="s">
        <v>52</v>
      </c>
      <c r="AG2" t="s">
        <v>52</v>
      </c>
      <c r="AH2" t="s">
        <v>52</v>
      </c>
      <c r="AI2" t="s">
        <v>52</v>
      </c>
      <c r="AJ2" t="s">
        <v>52</v>
      </c>
      <c r="AK2" t="s">
        <v>52</v>
      </c>
      <c r="AL2" t="s">
        <v>52</v>
      </c>
      <c r="AM2" t="s">
        <v>52</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36837.447916666664</v>
      </c>
      <c r="R3" s="64">
        <v>36922.65972222222</v>
      </c>
      <c r="S3" s="64">
        <v>37011.666666666664</v>
      </c>
      <c r="T3" s="64">
        <v>37106.645833333336</v>
      </c>
      <c r="U3" s="64">
        <v>37221.666666666664</v>
      </c>
      <c r="V3" s="64">
        <v>37383.493055555555</v>
      </c>
      <c r="W3" s="64">
        <v>37474.479166666664</v>
      </c>
      <c r="X3" s="64">
        <v>37585.95416666667</v>
      </c>
      <c r="Y3" s="64">
        <v>37648.586805555555</v>
      </c>
      <c r="Z3" s="64">
        <v>37746.51388888889</v>
      </c>
      <c r="AA3" s="64">
        <v>37837.493055555555</v>
      </c>
      <c r="AB3" s="64">
        <v>37949.63888888889</v>
      </c>
      <c r="AC3" s="64">
        <v>38027.493055555555</v>
      </c>
      <c r="AD3" s="64">
        <v>38111.479166666664</v>
      </c>
      <c r="AE3" s="64">
        <v>38202.450694444444</v>
      </c>
      <c r="AF3" s="64">
        <v>38335.604166666664</v>
      </c>
      <c r="AG3" s="64">
        <v>38393.4375</v>
      </c>
      <c r="AH3" s="64">
        <v>38477.48472222222</v>
      </c>
      <c r="AI3" s="64">
        <v>38593.49236111111</v>
      </c>
      <c r="AJ3" s="64">
        <v>38679.555555555555</v>
      </c>
      <c r="AK3" s="64">
        <v>38776.489583333336</v>
      </c>
      <c r="AL3" s="64">
        <v>38869.45138888889</v>
      </c>
      <c r="AM3" s="64">
        <v>38960.45138888889</v>
      </c>
      <c r="AO3" s="64"/>
      <c r="AP3" s="64"/>
      <c r="AQ3" s="64"/>
    </row>
    <row r="4" spans="2:39" ht="12.75">
      <c r="B4" s="68" t="s">
        <v>103</v>
      </c>
      <c r="C4" s="93" t="s">
        <v>4</v>
      </c>
      <c r="D4" s="81">
        <f>COUNT(Q4:EC4)</f>
        <v>20</v>
      </c>
      <c r="E4" s="82">
        <f>AVERAGE(Q4:EC4)</f>
        <v>0.06295000000000002</v>
      </c>
      <c r="F4" s="82">
        <f aca="true" t="shared" si="0" ref="F4:F15">CONFIDENCE(0.05,G4,D4)</f>
        <v>0.014039111772223322</v>
      </c>
      <c r="G4" s="82">
        <f>STDEV(Q4:EC4)</f>
        <v>0.03203365828558913</v>
      </c>
      <c r="H4" s="82">
        <f>QUARTILE(Q4:EC4,2)</f>
        <v>0.0495</v>
      </c>
      <c r="I4" s="82">
        <f>MIN(Q4:EC4)</f>
        <v>0.023</v>
      </c>
      <c r="J4" s="82">
        <f>MAX(Q4:EC4)</f>
        <v>0.14</v>
      </c>
      <c r="K4" s="82">
        <f>PERCENTILE(Q4:EC4,0.95)</f>
        <v>0.1305</v>
      </c>
      <c r="L4" s="102" t="str">
        <f>IF((H4+H5)&lt;0.08,"A",IF((H4+H5)&lt;0.12,"B",IF((H4+H5)&lt;0.295,"C",IF((H4+H5)&lt;0.444,"D","E"))))</f>
        <v>A</v>
      </c>
      <c r="N4" s="116" t="s">
        <v>86</v>
      </c>
      <c r="O4" s="108"/>
      <c r="P4" t="s">
        <v>86</v>
      </c>
      <c r="R4">
        <v>0.11</v>
      </c>
      <c r="S4">
        <v>0.14</v>
      </c>
      <c r="V4">
        <v>0.083</v>
      </c>
      <c r="W4">
        <v>0.13</v>
      </c>
      <c r="X4">
        <v>0.042</v>
      </c>
      <c r="Y4">
        <v>0.048</v>
      </c>
      <c r="Z4">
        <v>0.04</v>
      </c>
      <c r="AA4">
        <v>0.072</v>
      </c>
      <c r="AB4">
        <v>0.039</v>
      </c>
      <c r="AC4">
        <v>0.037</v>
      </c>
      <c r="AD4">
        <v>0.05</v>
      </c>
      <c r="AE4">
        <v>0.054</v>
      </c>
      <c r="AF4">
        <v>0.023</v>
      </c>
      <c r="AG4">
        <v>0.073</v>
      </c>
      <c r="AH4">
        <v>0.075</v>
      </c>
      <c r="AI4">
        <v>0.042</v>
      </c>
      <c r="AJ4">
        <v>0.034</v>
      </c>
      <c r="AK4">
        <v>0.072</v>
      </c>
      <c r="AL4">
        <v>0.046</v>
      </c>
      <c r="AM4">
        <v>0.049</v>
      </c>
    </row>
    <row r="5" spans="2:39" ht="12.75">
      <c r="B5" s="69"/>
      <c r="C5" s="5" t="s">
        <v>5</v>
      </c>
      <c r="D5" s="73">
        <f>COUNT(Q5:EC5)</f>
        <v>18</v>
      </c>
      <c r="E5" s="112">
        <f>AVERAGE(Q5:EC5)</f>
        <v>0.0058333333333333345</v>
      </c>
      <c r="F5" s="112">
        <f t="shared" si="0"/>
        <v>0.0008857830926548988</v>
      </c>
      <c r="G5" s="112">
        <f>STDEV(Q5:EC5)</f>
        <v>0.0019174124721184258</v>
      </c>
      <c r="H5" s="112">
        <f>QUARTILE(Q5:EC5,2)</f>
        <v>0.005</v>
      </c>
      <c r="I5" s="112">
        <f>MIN(Q5:EC5)</f>
        <v>0.005</v>
      </c>
      <c r="J5" s="112">
        <f>MAX(Q5:EC5)</f>
        <v>0.012</v>
      </c>
      <c r="K5" s="112">
        <f>PERCENTILE(Q5:EC5,0.95)</f>
        <v>0.009449999999999995</v>
      </c>
      <c r="L5" s="102"/>
      <c r="N5" s="116" t="s">
        <v>87</v>
      </c>
      <c r="O5" s="108"/>
      <c r="P5" t="s">
        <v>87</v>
      </c>
      <c r="V5">
        <v>0.005</v>
      </c>
      <c r="W5">
        <v>0.008</v>
      </c>
      <c r="X5">
        <v>0.009</v>
      </c>
      <c r="Y5">
        <v>0.005</v>
      </c>
      <c r="Z5">
        <v>0.006</v>
      </c>
      <c r="AA5">
        <v>0.005</v>
      </c>
      <c r="AB5">
        <v>0.005</v>
      </c>
      <c r="AC5">
        <v>0.012</v>
      </c>
      <c r="AD5">
        <v>0.005</v>
      </c>
      <c r="AE5">
        <v>0.005</v>
      </c>
      <c r="AF5">
        <v>0.005</v>
      </c>
      <c r="AG5">
        <v>0.005</v>
      </c>
      <c r="AH5">
        <v>0.005</v>
      </c>
      <c r="AI5">
        <v>0.005</v>
      </c>
      <c r="AJ5">
        <v>0.005</v>
      </c>
      <c r="AK5">
        <v>0.005</v>
      </c>
      <c r="AL5">
        <v>0.005</v>
      </c>
      <c r="AM5">
        <v>0.005</v>
      </c>
    </row>
    <row r="6" spans="2:39" ht="12.75">
      <c r="B6" s="70"/>
      <c r="C6" s="94" t="s">
        <v>6</v>
      </c>
      <c r="D6" s="73">
        <f>COUNT(Q6:EC6)</f>
        <v>23</v>
      </c>
      <c r="E6" s="112">
        <f>AVERAGE(Q6:EC6)</f>
        <v>0.018434782608695657</v>
      </c>
      <c r="F6" s="112">
        <f t="shared" si="0"/>
        <v>0.0010296667361646555</v>
      </c>
      <c r="G6" s="112">
        <f>STDEV(Q6:EC6)</f>
        <v>0.002519489251208769</v>
      </c>
      <c r="H6" s="112">
        <f>QUARTILE(Q6:EC6,2)</f>
        <v>0.018</v>
      </c>
      <c r="I6" s="112">
        <f>MIN(Q6:EC6)</f>
        <v>0.015</v>
      </c>
      <c r="J6" s="112">
        <f>MAX(Q6:EC6)</f>
        <v>0.023</v>
      </c>
      <c r="K6" s="112">
        <f>PERCENTILE(Q6:EC6,0.95)</f>
        <v>0.021899999999999996</v>
      </c>
      <c r="L6" s="102" t="str">
        <f>IF((H6)&lt;0.005,"A",IF((H6)&lt;0.008,"B",IF((H6)&lt;0.026,"C",IF((H6)&lt;0.05,"D","E"))))</f>
        <v>C</v>
      </c>
      <c r="N6" s="116" t="s">
        <v>88</v>
      </c>
      <c r="O6" s="108"/>
      <c r="P6" t="s">
        <v>88</v>
      </c>
      <c r="Q6">
        <v>0.021</v>
      </c>
      <c r="R6">
        <v>0.02</v>
      </c>
      <c r="S6">
        <v>0.02</v>
      </c>
      <c r="T6">
        <v>0.023</v>
      </c>
      <c r="U6">
        <v>0.015</v>
      </c>
      <c r="V6">
        <v>0.022</v>
      </c>
      <c r="W6">
        <v>0.018</v>
      </c>
      <c r="X6">
        <v>0.018</v>
      </c>
      <c r="Y6">
        <v>0.021</v>
      </c>
      <c r="Z6">
        <v>0.018</v>
      </c>
      <c r="AA6">
        <v>0.021</v>
      </c>
      <c r="AB6">
        <v>0.02</v>
      </c>
      <c r="AC6">
        <v>0.02</v>
      </c>
      <c r="AD6">
        <v>0.018</v>
      </c>
      <c r="AE6">
        <v>0.015</v>
      </c>
      <c r="AF6">
        <v>0.015</v>
      </c>
      <c r="AG6">
        <v>0.021</v>
      </c>
      <c r="AH6">
        <v>0.016</v>
      </c>
      <c r="AI6">
        <v>0.015</v>
      </c>
      <c r="AJ6">
        <v>0.018</v>
      </c>
      <c r="AK6">
        <v>0.017</v>
      </c>
      <c r="AL6">
        <v>0.015</v>
      </c>
      <c r="AM6">
        <v>0.017</v>
      </c>
    </row>
    <row r="7" spans="2:39" ht="12.75">
      <c r="B7" s="71" t="s">
        <v>104</v>
      </c>
      <c r="C7" s="6" t="s">
        <v>7</v>
      </c>
      <c r="D7" s="86">
        <f>COUNT(Q7:EC7)</f>
        <v>22</v>
      </c>
      <c r="E7" s="113">
        <f>AVERAGE(Q7:EC7)</f>
        <v>7.781818181818184</v>
      </c>
      <c r="F7" s="113">
        <f t="shared" si="0"/>
        <v>0.2527298533339422</v>
      </c>
      <c r="G7" s="113">
        <f>STDEV(Q7:EC7)</f>
        <v>0.6048111579629698</v>
      </c>
      <c r="H7" s="113">
        <f>QUARTILE(Q7:EC7,2)</f>
        <v>7.695</v>
      </c>
      <c r="I7" s="113">
        <f>MIN(Q7:EC7)</f>
        <v>7.11</v>
      </c>
      <c r="J7" s="113">
        <f>MAX(Q7:EC7)</f>
        <v>9.61</v>
      </c>
      <c r="K7" s="113">
        <f>PERCENTILE(Q7:EC7,0.95)</f>
        <v>9.244</v>
      </c>
      <c r="L7" s="103" t="str">
        <f>IF(AND(7.2&lt;H7,H7&lt;9),"A",IF(AND(7.2&lt;=H7,H7&lt;=9),"B",IF(AND(6.5&lt;=H7,H7&lt;=9),"C",IF(AND(6.5&lt;=H7,H7&lt;=10),"D","E"))))</f>
        <v>A</v>
      </c>
      <c r="N7" s="116" t="s">
        <v>89</v>
      </c>
      <c r="O7" s="108"/>
      <c r="P7" t="s">
        <v>89</v>
      </c>
      <c r="Q7">
        <v>7.96</v>
      </c>
      <c r="R7">
        <v>7.88</v>
      </c>
      <c r="S7">
        <v>8.18</v>
      </c>
      <c r="U7">
        <v>9.3</v>
      </c>
      <c r="V7">
        <v>7.24</v>
      </c>
      <c r="W7">
        <v>7.82</v>
      </c>
      <c r="X7">
        <v>7.88</v>
      </c>
      <c r="Y7">
        <v>7.62</v>
      </c>
      <c r="Z7">
        <v>7.66</v>
      </c>
      <c r="AA7">
        <v>7.37</v>
      </c>
      <c r="AB7">
        <v>7.46</v>
      </c>
      <c r="AC7">
        <v>7.36</v>
      </c>
      <c r="AD7">
        <v>7.3</v>
      </c>
      <c r="AE7">
        <v>7.5</v>
      </c>
      <c r="AF7">
        <v>7.79</v>
      </c>
      <c r="AG7">
        <v>7.38</v>
      </c>
      <c r="AH7">
        <v>7.45</v>
      </c>
      <c r="AI7">
        <v>7.73</v>
      </c>
      <c r="AJ7">
        <v>7.11</v>
      </c>
      <c r="AK7">
        <v>9.61</v>
      </c>
      <c r="AL7">
        <v>7.8</v>
      </c>
      <c r="AM7">
        <v>7.8</v>
      </c>
    </row>
    <row r="8" spans="2:39" ht="12.75">
      <c r="B8" s="71"/>
      <c r="C8" s="6" t="s">
        <v>8</v>
      </c>
      <c r="D8" s="81">
        <f>COUNT(Q8:EC8)</f>
        <v>23</v>
      </c>
      <c r="E8" s="44">
        <f>AVERAGE(Q8:EC8)</f>
        <v>11.451739130434783</v>
      </c>
      <c r="F8" s="44">
        <f t="shared" si="0"/>
        <v>1.2045426615688504</v>
      </c>
      <c r="G8" s="44">
        <f>STDEV(Q8:EC8)</f>
        <v>2.947392764914779</v>
      </c>
      <c r="H8" s="44">
        <f>QUARTILE(Q8:EC8,2)</f>
        <v>11.4</v>
      </c>
      <c r="I8" s="44">
        <f>MIN(Q8:EC8)</f>
        <v>6.8</v>
      </c>
      <c r="J8" s="44">
        <f>MAX(Q8:EC8)</f>
        <v>16.6</v>
      </c>
      <c r="K8" s="44">
        <f>PERCENTILE(Q8:EC8,0.95)</f>
        <v>16.209999999999997</v>
      </c>
      <c r="L8" s="102" t="str">
        <f>IF(H8&lt;18,"A",IF(H8&lt;20,"B",IF(H8&lt;22,"C",IF(H8&lt;25,"D","E"))))</f>
        <v>A</v>
      </c>
      <c r="N8" s="116" t="s">
        <v>90</v>
      </c>
      <c r="O8" s="108"/>
      <c r="P8" t="s">
        <v>90</v>
      </c>
      <c r="Q8">
        <v>11.4</v>
      </c>
      <c r="R8">
        <v>16.4</v>
      </c>
      <c r="S8">
        <v>11.9</v>
      </c>
      <c r="T8">
        <v>6.8</v>
      </c>
      <c r="U8">
        <v>11.59</v>
      </c>
      <c r="V8">
        <v>11.34</v>
      </c>
      <c r="W8">
        <v>8</v>
      </c>
      <c r="X8">
        <v>11.8</v>
      </c>
      <c r="Y8">
        <v>13.7</v>
      </c>
      <c r="Z8">
        <v>10.9</v>
      </c>
      <c r="AA8">
        <v>8.1</v>
      </c>
      <c r="AB8">
        <v>14.5</v>
      </c>
      <c r="AC8">
        <v>13.9</v>
      </c>
      <c r="AD8">
        <v>10.7</v>
      </c>
      <c r="AE8">
        <v>6.8</v>
      </c>
      <c r="AF8">
        <v>14.2</v>
      </c>
      <c r="AG8">
        <v>16.6</v>
      </c>
      <c r="AH8">
        <v>10.6</v>
      </c>
      <c r="AI8">
        <v>8.9</v>
      </c>
      <c r="AJ8">
        <v>14.25</v>
      </c>
      <c r="AK8">
        <v>14.46</v>
      </c>
      <c r="AL8">
        <v>8.65</v>
      </c>
      <c r="AM8">
        <v>7.9</v>
      </c>
    </row>
    <row r="9" spans="2:39" ht="12.75">
      <c r="B9" s="71"/>
      <c r="C9" s="7" t="s">
        <v>9</v>
      </c>
      <c r="D9" s="81">
        <f>COUNT(Q9:EC9)</f>
        <v>23</v>
      </c>
      <c r="E9" s="44">
        <f>AVERAGE(Q9:EC9)</f>
        <v>100.40869565217392</v>
      </c>
      <c r="F9" s="44">
        <f t="shared" si="0"/>
        <v>2.1478783609141834</v>
      </c>
      <c r="G9" s="44">
        <f>STDEV(Q9:EC9)</f>
        <v>5.255638793756103</v>
      </c>
      <c r="H9" s="44">
        <f>QUARTILE(Q9:EC9,2)</f>
        <v>99.9</v>
      </c>
      <c r="I9" s="44">
        <f>MIN(Q9:EC9)</f>
        <v>91.2</v>
      </c>
      <c r="J9" s="44">
        <f>MAX(Q9:EC9)</f>
        <v>115.4</v>
      </c>
      <c r="K9" s="44">
        <f>PERCENTILE(Q9:EC9,0.95)</f>
        <v>106.78</v>
      </c>
      <c r="L9" s="104" t="str">
        <f>IF(AND(99&lt;=H9,H9&lt;=103),"A",IF(AND(98&lt;=H9,H9&lt;=105),"B",IF(H9&gt;90,"C",IF(H9&gt;80,"D","E"))))</f>
        <v>A</v>
      </c>
      <c r="N9" s="116" t="s">
        <v>91</v>
      </c>
      <c r="O9" s="108"/>
      <c r="P9" t="s">
        <v>91</v>
      </c>
      <c r="Q9">
        <v>95.1</v>
      </c>
      <c r="R9">
        <v>92.3</v>
      </c>
      <c r="S9">
        <v>91.2</v>
      </c>
      <c r="T9">
        <v>96.3</v>
      </c>
      <c r="U9">
        <v>105.7</v>
      </c>
      <c r="V9">
        <v>100</v>
      </c>
      <c r="W9">
        <v>105</v>
      </c>
      <c r="X9">
        <v>102</v>
      </c>
      <c r="Y9">
        <v>104.6</v>
      </c>
      <c r="Z9">
        <v>97.5</v>
      </c>
      <c r="AA9">
        <v>98.7</v>
      </c>
      <c r="AB9">
        <v>101.8</v>
      </c>
      <c r="AC9">
        <v>99.3</v>
      </c>
      <c r="AD9">
        <v>99.9</v>
      </c>
      <c r="AE9">
        <v>100.3</v>
      </c>
      <c r="AF9">
        <v>96.1</v>
      </c>
      <c r="AG9">
        <v>106.9</v>
      </c>
      <c r="AH9">
        <v>105.4</v>
      </c>
      <c r="AI9">
        <v>115.4</v>
      </c>
      <c r="AJ9">
        <v>98.4</v>
      </c>
      <c r="AK9">
        <v>97.4</v>
      </c>
      <c r="AL9">
        <v>98.6</v>
      </c>
      <c r="AM9">
        <v>101.5</v>
      </c>
    </row>
    <row r="10" spans="2:39" ht="12.75">
      <c r="B10" s="71"/>
      <c r="C10" s="6" t="s">
        <v>10</v>
      </c>
      <c r="D10" s="81">
        <f>COUNT(Q10:EC10)</f>
        <v>23</v>
      </c>
      <c r="E10" s="44">
        <f>AVERAGE(Q10:EC10)</f>
        <v>10.982608695652173</v>
      </c>
      <c r="F10" s="44">
        <f t="shared" si="0"/>
        <v>0.4305987094873592</v>
      </c>
      <c r="G10" s="44">
        <f>STDEV(Q10:EC10)</f>
        <v>1.0536310264608593</v>
      </c>
      <c r="H10" s="44">
        <f>QUARTILE(Q10:EC10,2)</f>
        <v>10.94</v>
      </c>
      <c r="I10" s="44">
        <f>MIN(Q10:EC10)</f>
        <v>8.71</v>
      </c>
      <c r="J10" s="44">
        <f>MAX(Q10:EC10)</f>
        <v>13.38</v>
      </c>
      <c r="K10" s="44">
        <f>PERCENTILE(Q10:EC10,0.95)</f>
        <v>12.437000000000001</v>
      </c>
      <c r="L10" s="102"/>
      <c r="N10" s="116" t="s">
        <v>92</v>
      </c>
      <c r="O10" s="108"/>
      <c r="P10" t="s">
        <v>92</v>
      </c>
      <c r="Q10">
        <v>10.31</v>
      </c>
      <c r="R10">
        <v>8.71</v>
      </c>
      <c r="S10">
        <v>9.74</v>
      </c>
      <c r="T10">
        <v>11.76</v>
      </c>
      <c r="U10">
        <v>11.49</v>
      </c>
      <c r="V10">
        <v>10.94</v>
      </c>
      <c r="W10">
        <v>12.46</v>
      </c>
      <c r="X10">
        <v>11.04</v>
      </c>
      <c r="Y10">
        <v>10.84</v>
      </c>
      <c r="Z10">
        <v>10.77</v>
      </c>
      <c r="AA10">
        <v>11.68</v>
      </c>
      <c r="AB10">
        <v>10.37</v>
      </c>
      <c r="AC10">
        <v>10.26</v>
      </c>
      <c r="AD10">
        <v>11.09</v>
      </c>
      <c r="AE10">
        <v>12.23</v>
      </c>
      <c r="AF10">
        <v>9.85</v>
      </c>
      <c r="AG10">
        <v>10.42</v>
      </c>
      <c r="AH10">
        <v>11.71</v>
      </c>
      <c r="AI10">
        <v>13.38</v>
      </c>
      <c r="AJ10">
        <v>10.08</v>
      </c>
      <c r="AK10">
        <v>9.93</v>
      </c>
      <c r="AL10">
        <v>11.49</v>
      </c>
      <c r="AM10">
        <v>12.05</v>
      </c>
    </row>
    <row r="11" spans="2:39" ht="12.75">
      <c r="B11" s="72"/>
      <c r="C11" s="95" t="s">
        <v>11</v>
      </c>
      <c r="D11" s="87">
        <f>COUNT(Q11:EC11)</f>
        <v>23</v>
      </c>
      <c r="E11" s="115">
        <f>AVERAGE(Q11:EC11)</f>
        <v>106.89999999999999</v>
      </c>
      <c r="F11" s="115">
        <f t="shared" si="0"/>
        <v>7.121606393931509</v>
      </c>
      <c r="G11" s="115">
        <f>STDEV(Q11:EC11)</f>
        <v>17.42584287774915</v>
      </c>
      <c r="H11" s="115">
        <f>QUARTILE(Q11:EC11,2)</f>
        <v>108</v>
      </c>
      <c r="I11" s="115">
        <f>MIN(Q11:EC11)</f>
        <v>75</v>
      </c>
      <c r="J11" s="115">
        <f>MAX(Q11:EC11)</f>
        <v>140.1</v>
      </c>
      <c r="K11" s="115">
        <f>PERCENTILE(Q11:EC11,0.95)</f>
        <v>132.17000000000002</v>
      </c>
      <c r="L11" s="105"/>
      <c r="N11" s="116" t="s">
        <v>93</v>
      </c>
      <c r="O11" s="108"/>
      <c r="P11" t="s">
        <v>93</v>
      </c>
      <c r="Q11">
        <v>108.6</v>
      </c>
      <c r="R11">
        <v>132.3</v>
      </c>
      <c r="S11">
        <v>140.1</v>
      </c>
      <c r="T11">
        <v>112.7</v>
      </c>
      <c r="U11">
        <v>75</v>
      </c>
      <c r="V11">
        <v>113</v>
      </c>
      <c r="W11">
        <v>107</v>
      </c>
      <c r="X11">
        <v>112</v>
      </c>
      <c r="Y11">
        <v>119</v>
      </c>
      <c r="Z11">
        <v>101</v>
      </c>
      <c r="AA11">
        <v>107</v>
      </c>
      <c r="AB11">
        <v>109</v>
      </c>
      <c r="AC11">
        <v>92</v>
      </c>
      <c r="AD11">
        <v>79</v>
      </c>
      <c r="AE11">
        <v>80</v>
      </c>
      <c r="AF11">
        <v>103</v>
      </c>
      <c r="AG11">
        <v>108</v>
      </c>
      <c r="AH11">
        <v>119</v>
      </c>
      <c r="AI11">
        <v>89</v>
      </c>
      <c r="AJ11">
        <v>131</v>
      </c>
      <c r="AK11">
        <v>127</v>
      </c>
      <c r="AL11">
        <v>86</v>
      </c>
      <c r="AM11">
        <v>108</v>
      </c>
    </row>
    <row r="12" spans="2:39" ht="12.75">
      <c r="B12" s="68" t="s">
        <v>105</v>
      </c>
      <c r="C12" s="4" t="s">
        <v>12</v>
      </c>
      <c r="D12" s="81">
        <f>COUNT(Q12:EC12)</f>
        <v>23</v>
      </c>
      <c r="E12" s="82">
        <f>AVERAGE(Q12:EC12)</f>
        <v>0.7573913043478262</v>
      </c>
      <c r="F12" s="82">
        <f t="shared" si="0"/>
        <v>0.14051194391052163</v>
      </c>
      <c r="G12" s="82">
        <f>STDEV(Q12:EC12)</f>
        <v>0.34381836366557833</v>
      </c>
      <c r="H12" s="82">
        <f>QUARTILE(Q12:EC12,2)</f>
        <v>0.73</v>
      </c>
      <c r="I12" s="82">
        <f>MIN(Q12:EC12)</f>
        <v>0.18</v>
      </c>
      <c r="J12" s="82">
        <f>MAX(Q12:EC12)</f>
        <v>1.5</v>
      </c>
      <c r="K12" s="82">
        <f>PERCENTILE(Q12:EC12,0.95)</f>
        <v>1.324</v>
      </c>
      <c r="L12" s="102" t="str">
        <f>IF(H12&lt;1,"A",IF(H12&lt;2,"B",IF(H12&lt;3,"C",IF(H12&lt;5,"D","E"))))</f>
        <v>A</v>
      </c>
      <c r="N12" s="116" t="s">
        <v>94</v>
      </c>
      <c r="O12" s="108"/>
      <c r="P12" t="s">
        <v>94</v>
      </c>
      <c r="Q12">
        <v>1.33</v>
      </c>
      <c r="R12">
        <v>0.73</v>
      </c>
      <c r="S12">
        <v>1.27</v>
      </c>
      <c r="T12">
        <v>0.5</v>
      </c>
      <c r="U12">
        <v>0.82</v>
      </c>
      <c r="V12">
        <v>0.52</v>
      </c>
      <c r="W12">
        <v>0.77</v>
      </c>
      <c r="X12">
        <v>0.47</v>
      </c>
      <c r="Y12">
        <v>0.76</v>
      </c>
      <c r="Z12">
        <v>0.36</v>
      </c>
      <c r="AA12">
        <v>0.72</v>
      </c>
      <c r="AB12">
        <v>0.41</v>
      </c>
      <c r="AC12">
        <v>0.3</v>
      </c>
      <c r="AD12">
        <v>1.5</v>
      </c>
      <c r="AE12">
        <v>0.73</v>
      </c>
      <c r="AF12">
        <v>0.73</v>
      </c>
      <c r="AG12">
        <v>1.11</v>
      </c>
      <c r="AH12">
        <v>0.63</v>
      </c>
      <c r="AI12">
        <v>0.75</v>
      </c>
      <c r="AJ12">
        <v>0.18</v>
      </c>
      <c r="AK12">
        <v>0.68</v>
      </c>
      <c r="AL12">
        <v>0.88</v>
      </c>
      <c r="AM12">
        <v>1.27</v>
      </c>
    </row>
    <row r="13" spans="2:39" ht="12.75">
      <c r="B13" s="71"/>
      <c r="C13" s="6" t="s">
        <v>13</v>
      </c>
      <c r="D13" s="81">
        <f>COUNT(Q13:EC13)</f>
        <v>21</v>
      </c>
      <c r="E13" s="44">
        <f>AVERAGE(Q13:EC13)</f>
        <v>5.83095238095238</v>
      </c>
      <c r="F13" s="44">
        <f t="shared" si="0"/>
        <v>1.0535750801663526</v>
      </c>
      <c r="G13" s="44">
        <f>STDEV(Q13:EC13)</f>
        <v>2.463355241864043</v>
      </c>
      <c r="H13" s="44">
        <f>QUARTILE(Q13:EC13,2)</f>
        <v>5.1</v>
      </c>
      <c r="I13" s="44">
        <f>MIN(Q13:EC13)</f>
        <v>2.8</v>
      </c>
      <c r="J13" s="44">
        <f>MAX(Q13:EC13)</f>
        <v>12.6</v>
      </c>
      <c r="K13" s="44">
        <f>PERCENTILE(Q13:EC13,0.95)</f>
        <v>9.5</v>
      </c>
      <c r="L13" s="102" t="str">
        <f>IF(H13&gt;6,"A",IF(H13&gt;4,"B",IF(H13&gt;2.5,"C",IF(H13&gt;0.6,"D","E"))))</f>
        <v>B</v>
      </c>
      <c r="N13" s="116" t="s">
        <v>13</v>
      </c>
      <c r="O13" s="108"/>
      <c r="P13" t="s">
        <v>13</v>
      </c>
      <c r="Q13">
        <v>8.7</v>
      </c>
      <c r="R13">
        <v>4.7</v>
      </c>
      <c r="S13">
        <v>3.7</v>
      </c>
      <c r="T13">
        <v>7.6</v>
      </c>
      <c r="U13">
        <v>2.8</v>
      </c>
      <c r="V13">
        <v>12.6</v>
      </c>
      <c r="W13">
        <v>6.8</v>
      </c>
      <c r="X13">
        <v>4.5</v>
      </c>
      <c r="Z13">
        <v>7.5</v>
      </c>
      <c r="AA13">
        <v>9.5</v>
      </c>
      <c r="AB13">
        <v>7.8</v>
      </c>
      <c r="AC13">
        <v>7.1</v>
      </c>
      <c r="AD13">
        <v>3.25</v>
      </c>
      <c r="AE13">
        <v>5.4</v>
      </c>
      <c r="AF13">
        <v>5.1</v>
      </c>
      <c r="AG13">
        <v>4.6</v>
      </c>
      <c r="AH13">
        <v>4.5</v>
      </c>
      <c r="AI13">
        <v>5.1</v>
      </c>
      <c r="AK13">
        <v>3.5</v>
      </c>
      <c r="AL13">
        <v>3.5</v>
      </c>
      <c r="AM13">
        <v>4.2</v>
      </c>
    </row>
    <row r="14" spans="2:39" ht="12.75">
      <c r="B14" s="72"/>
      <c r="C14" s="95" t="s">
        <v>14</v>
      </c>
      <c r="D14" s="87">
        <f>COUNT(Q14:EC14)</f>
        <v>22</v>
      </c>
      <c r="E14" s="115">
        <f>AVERAGE(Q14:EC14)</f>
        <v>0.9727272727272728</v>
      </c>
      <c r="F14" s="115">
        <f t="shared" si="0"/>
        <v>0.5410294008814867</v>
      </c>
      <c r="G14" s="115">
        <f>STDEV(Q14:EC14)</f>
        <v>1.2947446220639944</v>
      </c>
      <c r="H14" s="115">
        <f>QUARTILE(Q14:EC14,2)</f>
        <v>0.55</v>
      </c>
      <c r="I14" s="115">
        <f>MIN(Q14:EC14)</f>
        <v>0.3</v>
      </c>
      <c r="J14" s="115">
        <f>MAX(Q14:EC14)</f>
        <v>6</v>
      </c>
      <c r="K14" s="115">
        <f>PERCENTILE(Q14:EC14,0.95)</f>
        <v>2.9499999999999993</v>
      </c>
      <c r="L14" s="102"/>
      <c r="N14" s="116" t="s">
        <v>95</v>
      </c>
      <c r="O14" s="108"/>
      <c r="P14" t="s">
        <v>95</v>
      </c>
      <c r="Q14">
        <v>1</v>
      </c>
      <c r="R14">
        <v>2</v>
      </c>
      <c r="S14">
        <v>3</v>
      </c>
      <c r="U14">
        <v>0.4</v>
      </c>
      <c r="V14">
        <v>0.3</v>
      </c>
      <c r="W14">
        <v>0.3</v>
      </c>
      <c r="X14">
        <v>0.6</v>
      </c>
      <c r="Y14">
        <v>0.4</v>
      </c>
      <c r="Z14">
        <v>1</v>
      </c>
      <c r="AA14">
        <v>0.3</v>
      </c>
      <c r="AB14">
        <v>0.4</v>
      </c>
      <c r="AC14">
        <v>0.9</v>
      </c>
      <c r="AD14">
        <v>0.7</v>
      </c>
      <c r="AE14">
        <v>0.3</v>
      </c>
      <c r="AF14">
        <v>0.3</v>
      </c>
      <c r="AG14">
        <v>0.8</v>
      </c>
      <c r="AH14">
        <v>0.3</v>
      </c>
      <c r="AI14">
        <v>0.5</v>
      </c>
      <c r="AJ14">
        <v>0.6</v>
      </c>
      <c r="AK14">
        <v>6</v>
      </c>
      <c r="AL14">
        <v>0.3</v>
      </c>
      <c r="AM14">
        <v>1</v>
      </c>
    </row>
    <row r="15" spans="2:39" ht="12.75">
      <c r="B15" s="208" t="s">
        <v>267</v>
      </c>
      <c r="C15" s="8" t="s">
        <v>268</v>
      </c>
      <c r="D15" s="81">
        <f>COUNT(Q15:EC15)</f>
        <v>23</v>
      </c>
      <c r="E15" s="40">
        <f>AVERAGE(Q15:EC15)</f>
        <v>43.78260869565217</v>
      </c>
      <c r="F15" s="40">
        <f t="shared" si="0"/>
        <v>28.119156472801404</v>
      </c>
      <c r="G15" s="40">
        <f>STDEV(Q15:EC15)</f>
        <v>68.80470155826373</v>
      </c>
      <c r="H15" s="40">
        <f>QUARTILE(Q15:EC15,2)</f>
        <v>10</v>
      </c>
      <c r="I15" s="40">
        <f>MIN(Q15:EC15)</f>
        <v>5</v>
      </c>
      <c r="J15" s="40">
        <f>MAX(Q15:EC15)</f>
        <v>285</v>
      </c>
      <c r="K15" s="40">
        <f>PERCENTILE(Q15:EC15,0.95)</f>
        <v>152.49999999999997</v>
      </c>
      <c r="L15" s="106" t="str">
        <f>IF(H15&lt;10,"A",IF(H15&lt;130,"B",IF(H15&lt;260,"C",IF(H15&lt;550,"D","E"))))</f>
        <v>B</v>
      </c>
      <c r="N15" s="116" t="s">
        <v>255</v>
      </c>
      <c r="O15" s="108"/>
      <c r="P15" t="s">
        <v>255</v>
      </c>
      <c r="Q15">
        <v>5</v>
      </c>
      <c r="R15">
        <v>10</v>
      </c>
      <c r="S15">
        <v>45</v>
      </c>
      <c r="T15">
        <v>10</v>
      </c>
      <c r="U15">
        <v>5</v>
      </c>
      <c r="V15">
        <v>5</v>
      </c>
      <c r="W15">
        <v>5</v>
      </c>
      <c r="X15">
        <v>10</v>
      </c>
      <c r="Y15">
        <v>90</v>
      </c>
      <c r="Z15">
        <v>30</v>
      </c>
      <c r="AA15">
        <v>5</v>
      </c>
      <c r="AB15">
        <v>5</v>
      </c>
      <c r="AC15">
        <v>285</v>
      </c>
      <c r="AD15">
        <v>155</v>
      </c>
      <c r="AE15">
        <v>5</v>
      </c>
      <c r="AF15">
        <v>5</v>
      </c>
      <c r="AG15">
        <v>30</v>
      </c>
      <c r="AH15">
        <v>17</v>
      </c>
      <c r="AI15">
        <v>5</v>
      </c>
      <c r="AJ15">
        <v>110</v>
      </c>
      <c r="AK15">
        <v>130</v>
      </c>
      <c r="AL15">
        <v>35</v>
      </c>
      <c r="AM15">
        <v>5</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127.16666666666667</v>
      </c>
      <c r="F17" s="44">
        <f>CONFIDENCE(0.05,G17,D17)</f>
        <v>8.683277035489999</v>
      </c>
      <c r="G17" s="44">
        <f>STDEV(Q17:EC17)</f>
        <v>10.852035139395085</v>
      </c>
      <c r="H17" s="44">
        <f>QUARTILE(Q17:EC17,2)</f>
        <v>126.5</v>
      </c>
      <c r="I17" s="44">
        <f>MIN(Q17:EC17)</f>
        <v>112</v>
      </c>
      <c r="J17" s="44">
        <f>MAX(Q17:EC17)</f>
        <v>144</v>
      </c>
      <c r="K17" s="44">
        <f>PERCENTILE(Q17:EC17,0.95)</f>
        <v>141</v>
      </c>
      <c r="L17" s="102" t="str">
        <f>IF(H17&gt;120,"A",IF(H17&gt;100,"B",IF(H17&gt;80,"C",IF(H17&gt;60,"D","E"))))</f>
        <v>A</v>
      </c>
      <c r="N17" s="116" t="s">
        <v>17</v>
      </c>
      <c r="O17" s="108"/>
      <c r="P17" t="s">
        <v>17</v>
      </c>
      <c r="Q17">
        <v>112</v>
      </c>
      <c r="U17">
        <v>132</v>
      </c>
      <c r="X17">
        <v>123</v>
      </c>
      <c r="AB17">
        <v>144</v>
      </c>
      <c r="AF17">
        <v>130</v>
      </c>
      <c r="AJ17">
        <v>122</v>
      </c>
    </row>
    <row r="18" spans="2:36" ht="12.75">
      <c r="B18" s="74"/>
      <c r="C18" s="96" t="s">
        <v>18</v>
      </c>
      <c r="D18" s="81">
        <f>COUNT(Q18:EC18)</f>
        <v>6</v>
      </c>
      <c r="E18" s="44">
        <f>AVERAGE(Q18:EC18)</f>
        <v>6.981833333333333</v>
      </c>
      <c r="F18" s="44">
        <f>CONFIDENCE(0.05,G18,D18)</f>
        <v>0.6605011582962464</v>
      </c>
      <c r="G18" s="44">
        <f>STDEV(Q18:EC18)</f>
        <v>0.8254696642921912</v>
      </c>
      <c r="H18" s="44">
        <f>QUARTILE(Q18:EC18,2)</f>
        <v>7.2555</v>
      </c>
      <c r="I18" s="44">
        <f>MIN(Q18:EC18)</f>
        <v>5.52</v>
      </c>
      <c r="J18" s="44">
        <f>MAX(Q18:EC18)</f>
        <v>7.68</v>
      </c>
      <c r="K18" s="44">
        <f>PERCENTILE(Q18:EC18,0.95)</f>
        <v>7.6674999999999995</v>
      </c>
      <c r="L18" s="105" t="str">
        <f>IF(H18&gt;6,"A",IF(H18&gt;5,"B",IF(H18&gt;4,"C",IF(H18&gt;3,"D","E"))))</f>
        <v>A</v>
      </c>
      <c r="N18" s="116" t="s">
        <v>18</v>
      </c>
      <c r="O18" s="108"/>
      <c r="P18" t="s">
        <v>18</v>
      </c>
      <c r="Q18">
        <v>5.52</v>
      </c>
      <c r="U18">
        <v>6.55</v>
      </c>
      <c r="X18">
        <v>7.68</v>
      </c>
      <c r="AB18">
        <v>7.37</v>
      </c>
      <c r="AF18">
        <v>7.63</v>
      </c>
      <c r="AJ18">
        <v>7.141</v>
      </c>
    </row>
    <row r="19" spans="2:36" ht="12.75">
      <c r="B19" s="71" t="s">
        <v>106</v>
      </c>
      <c r="C19" s="7" t="s">
        <v>19</v>
      </c>
      <c r="D19" s="86">
        <f>COUNT(Q19:EC19)</f>
        <v>7</v>
      </c>
      <c r="E19" s="113">
        <f>AVERAGE(Q19:EC19)</f>
        <v>8.860714285714286</v>
      </c>
      <c r="F19" s="113">
        <f>CONFIDENCE(0.05,G19,D19)</f>
        <v>0.796997784558266</v>
      </c>
      <c r="G19" s="113">
        <f>STDEV(Q19:EC19)</f>
        <v>1.0758656536770224</v>
      </c>
      <c r="H19" s="113">
        <f>QUARTILE(Q19:EC19,2)</f>
        <v>9.3</v>
      </c>
      <c r="I19" s="113">
        <f>MIN(Q19:EC19)</f>
        <v>7.075</v>
      </c>
      <c r="J19" s="113">
        <f>MAX(Q19:EC19)</f>
        <v>9.89</v>
      </c>
      <c r="K19" s="113">
        <f>PERCENTILE(Q19:EC19,0.95)</f>
        <v>9.833</v>
      </c>
      <c r="L19" s="102" t="str">
        <f>IF(H19&gt;8,"A",IF(H19&gt;6,"B",IF(H19&gt;4,"C",IF(H19&gt;2,"D","E"))))</f>
        <v>A</v>
      </c>
      <c r="N19" s="116" t="s">
        <v>96</v>
      </c>
      <c r="O19" s="108"/>
      <c r="P19" t="s">
        <v>96</v>
      </c>
      <c r="R19">
        <v>7.89</v>
      </c>
      <c r="S19">
        <v>8.47</v>
      </c>
      <c r="T19">
        <v>9.89</v>
      </c>
      <c r="X19">
        <v>9.3</v>
      </c>
      <c r="AB19">
        <v>9.7</v>
      </c>
      <c r="AF19">
        <v>9.7</v>
      </c>
      <c r="AJ19">
        <v>7.075</v>
      </c>
    </row>
    <row r="20" spans="2:36" ht="12.75">
      <c r="B20" s="72"/>
      <c r="C20" s="97" t="s">
        <v>122</v>
      </c>
      <c r="D20" s="87">
        <f>COUNT(Q20:EC20)</f>
        <v>4</v>
      </c>
      <c r="E20" s="114">
        <f>AVERAGE(Q20:EC20)</f>
        <v>0.825</v>
      </c>
      <c r="F20" s="114">
        <f>CONFIDENCE(0.05,G20,D20)</f>
        <v>0.9746593016027797</v>
      </c>
      <c r="G20" s="114">
        <f>STDEV(Q20:EC20)</f>
        <v>0.9945685831890463</v>
      </c>
      <c r="H20" s="114">
        <f>QUARTILE(Q20:EC20,2)</f>
        <v>0.65</v>
      </c>
      <c r="I20" s="114">
        <f>MIN(Q20:EC20)</f>
        <v>0</v>
      </c>
      <c r="J20" s="114">
        <f>MAX(Q20:EC20)</f>
        <v>2</v>
      </c>
      <c r="K20" s="114">
        <f>PERCENTILE(Q20:EC20,0.95)</f>
        <v>1.8949999999999998</v>
      </c>
      <c r="L20" s="105"/>
      <c r="N20" s="116" t="s">
        <v>97</v>
      </c>
      <c r="O20" s="108"/>
      <c r="P20" t="s">
        <v>97</v>
      </c>
      <c r="X20">
        <v>0</v>
      </c>
      <c r="AB20">
        <v>2</v>
      </c>
      <c r="AF20">
        <v>1.3</v>
      </c>
      <c r="AJ20">
        <v>0</v>
      </c>
    </row>
    <row r="21" spans="2:15" ht="12.75">
      <c r="B21" s="71" t="s">
        <v>112</v>
      </c>
      <c r="C21" s="118" t="s">
        <v>21</v>
      </c>
      <c r="D21">
        <v>2</v>
      </c>
      <c r="E21" s="157">
        <v>0.325</v>
      </c>
      <c r="I21">
        <v>0.05</v>
      </c>
      <c r="J21">
        <v>0.6</v>
      </c>
      <c r="K21" s="143"/>
      <c r="L21" s="144" t="str">
        <f>IF(E21&gt;=H52,"E","A - D")</f>
        <v>A - D</v>
      </c>
      <c r="O21" s="108"/>
    </row>
    <row r="22" spans="2:15" ht="12.75">
      <c r="B22" s="73" t="s">
        <v>111</v>
      </c>
      <c r="C22" s="122" t="s">
        <v>22</v>
      </c>
      <c r="D22">
        <v>2</v>
      </c>
      <c r="E22" s="157">
        <v>35.5</v>
      </c>
      <c r="I22">
        <v>34</v>
      </c>
      <c r="J22">
        <v>37</v>
      </c>
      <c r="K22" s="145"/>
      <c r="L22" s="144" t="str">
        <f>IF(E22&gt;=H53,"E","A - D")</f>
        <v>A - D</v>
      </c>
      <c r="N22" s="111"/>
      <c r="O22" s="108"/>
    </row>
    <row r="23" spans="2:15" ht="12.75">
      <c r="B23" s="73"/>
      <c r="C23" s="122" t="s">
        <v>23</v>
      </c>
      <c r="D23">
        <v>2</v>
      </c>
      <c r="E23" s="157">
        <v>15.5</v>
      </c>
      <c r="I23">
        <v>14</v>
      </c>
      <c r="J23">
        <v>17</v>
      </c>
      <c r="K23" s="145"/>
      <c r="L23" s="144" t="str">
        <f>IF(E23&gt;=H54,"E","A - D")</f>
        <v>A - D</v>
      </c>
      <c r="N23" s="111"/>
      <c r="O23" s="108"/>
    </row>
    <row r="24" spans="2:15" ht="12.75">
      <c r="B24" s="73"/>
      <c r="C24" s="122" t="s">
        <v>24</v>
      </c>
      <c r="D24">
        <v>2</v>
      </c>
      <c r="E24" s="157">
        <v>73.5</v>
      </c>
      <c r="I24">
        <v>64</v>
      </c>
      <c r="J24">
        <v>83</v>
      </c>
      <c r="K24" s="145"/>
      <c r="L24" s="144" t="str">
        <f>IF(E24&gt;=H55,"E","A - D")</f>
        <v>A - D</v>
      </c>
      <c r="N24" s="111"/>
      <c r="O24" s="108"/>
    </row>
    <row r="25" spans="2:15" ht="12.75">
      <c r="B25" s="71"/>
      <c r="C25" s="122"/>
      <c r="K25" s="145"/>
      <c r="L25" s="144"/>
      <c r="O25" s="108"/>
    </row>
    <row r="26" spans="2:15" ht="12.75">
      <c r="B26" s="71"/>
      <c r="C26" s="122" t="s">
        <v>28</v>
      </c>
      <c r="D26">
        <v>2</v>
      </c>
      <c r="E26" s="23">
        <v>0.0175</v>
      </c>
      <c r="F26" s="23"/>
      <c r="G26" s="23"/>
      <c r="H26" s="23"/>
      <c r="I26" s="23">
        <v>0.015</v>
      </c>
      <c r="J26" s="23">
        <v>0.02</v>
      </c>
      <c r="K26" s="145"/>
      <c r="L26" s="144" t="str">
        <f aca="true" t="shared" si="1" ref="L26:L41">IF(E26&gt;=H57,"E","A - D")</f>
        <v>A - D</v>
      </c>
      <c r="O26" s="108"/>
    </row>
    <row r="27" spans="2:15" ht="12.75">
      <c r="B27" s="73"/>
      <c r="C27" s="122" t="s">
        <v>29</v>
      </c>
      <c r="D27">
        <v>2</v>
      </c>
      <c r="E27" s="23">
        <v>0.065</v>
      </c>
      <c r="F27" s="23"/>
      <c r="G27" s="23"/>
      <c r="H27" s="23"/>
      <c r="I27" s="23">
        <v>0.02</v>
      </c>
      <c r="J27" s="23">
        <v>0.11</v>
      </c>
      <c r="K27" s="143"/>
      <c r="L27" s="144" t="str">
        <f t="shared" si="1"/>
        <v>A - D</v>
      </c>
      <c r="O27" s="108"/>
    </row>
    <row r="28" spans="2:15" ht="12.75">
      <c r="B28" s="73"/>
      <c r="C28" s="122" t="s">
        <v>30</v>
      </c>
      <c r="D28">
        <v>2</v>
      </c>
      <c r="E28" s="23">
        <v>0.0175</v>
      </c>
      <c r="F28" s="23"/>
      <c r="G28" s="23"/>
      <c r="H28" s="23"/>
      <c r="I28" s="23">
        <v>0.015</v>
      </c>
      <c r="J28" s="23">
        <v>0.02</v>
      </c>
      <c r="K28" s="143"/>
      <c r="L28" s="144" t="str">
        <f t="shared" si="1"/>
        <v>A - D</v>
      </c>
      <c r="O28" s="108"/>
    </row>
    <row r="29" spans="2:15" ht="12.75">
      <c r="B29" s="127"/>
      <c r="C29" s="128" t="s">
        <v>31</v>
      </c>
      <c r="E29" s="23">
        <v>0.1</v>
      </c>
      <c r="F29" s="23"/>
      <c r="G29" s="23"/>
      <c r="H29" s="23"/>
      <c r="I29" s="23"/>
      <c r="J29" s="23"/>
      <c r="K29" s="147"/>
      <c r="L29" s="144" t="str">
        <f t="shared" si="1"/>
        <v>A - D</v>
      </c>
      <c r="O29" s="108"/>
    </row>
    <row r="30" spans="2:15" ht="12.75">
      <c r="B30" s="73"/>
      <c r="C30" s="122" t="s">
        <v>32</v>
      </c>
      <c r="D30">
        <v>2</v>
      </c>
      <c r="E30" s="23">
        <v>0.15</v>
      </c>
      <c r="F30" s="23"/>
      <c r="G30" s="23"/>
      <c r="H30" s="23"/>
      <c r="I30" s="23">
        <v>0.02</v>
      </c>
      <c r="J30" s="23">
        <v>0.28</v>
      </c>
      <c r="K30" s="143"/>
      <c r="L30" s="144" t="str">
        <f t="shared" si="1"/>
        <v>A - D</v>
      </c>
      <c r="O30" s="108"/>
    </row>
    <row r="31" spans="2:15" ht="12.75">
      <c r="B31" s="81"/>
      <c r="C31" s="122" t="s">
        <v>33</v>
      </c>
      <c r="D31">
        <v>2</v>
      </c>
      <c r="E31" s="23">
        <v>0.18</v>
      </c>
      <c r="F31" s="23"/>
      <c r="G31" s="23"/>
      <c r="H31" s="23"/>
      <c r="I31" s="23">
        <v>0.02</v>
      </c>
      <c r="J31" s="23">
        <v>0.34</v>
      </c>
      <c r="K31" s="143"/>
      <c r="L31" s="144" t="str">
        <f t="shared" si="1"/>
        <v>A - D</v>
      </c>
      <c r="O31" s="108"/>
    </row>
    <row r="32" spans="2:15" ht="12.75">
      <c r="B32" s="81"/>
      <c r="C32" s="122" t="s">
        <v>34</v>
      </c>
      <c r="D32">
        <v>2</v>
      </c>
      <c r="E32" s="23">
        <v>0.085</v>
      </c>
      <c r="F32" s="23"/>
      <c r="G32" s="23"/>
      <c r="H32" s="23"/>
      <c r="I32" s="23">
        <v>0.02</v>
      </c>
      <c r="J32" s="23">
        <v>0.15</v>
      </c>
      <c r="K32" s="143"/>
      <c r="L32" s="144" t="str">
        <f t="shared" si="1"/>
        <v>A - D</v>
      </c>
      <c r="O32" s="108"/>
    </row>
    <row r="33" spans="2:15" ht="12.75">
      <c r="B33" s="81"/>
      <c r="C33" s="122" t="s">
        <v>35</v>
      </c>
      <c r="D33">
        <v>2</v>
      </c>
      <c r="E33" s="23">
        <v>0.075</v>
      </c>
      <c r="F33" s="23"/>
      <c r="G33" s="23"/>
      <c r="H33" s="23"/>
      <c r="I33" s="23">
        <v>0.02</v>
      </c>
      <c r="J33" s="23">
        <v>0.13</v>
      </c>
      <c r="K33" s="150"/>
      <c r="L33" s="144" t="str">
        <f t="shared" si="1"/>
        <v>A - D</v>
      </c>
      <c r="O33" s="108"/>
    </row>
    <row r="34" spans="2:15" ht="12.75">
      <c r="B34" s="81"/>
      <c r="C34" s="122" t="s">
        <v>36</v>
      </c>
      <c r="D34">
        <v>2</v>
      </c>
      <c r="E34" s="23">
        <v>0.1</v>
      </c>
      <c r="F34" s="23"/>
      <c r="G34" s="23"/>
      <c r="H34" s="23"/>
      <c r="I34" s="23">
        <v>0.02</v>
      </c>
      <c r="J34" s="23">
        <v>0.18</v>
      </c>
      <c r="K34" s="151"/>
      <c r="L34" s="144" t="str">
        <f t="shared" si="1"/>
        <v>A - D</v>
      </c>
      <c r="O34" s="108"/>
    </row>
    <row r="35" spans="2:15" ht="12.75">
      <c r="B35" s="81"/>
      <c r="C35" s="122" t="s">
        <v>37</v>
      </c>
      <c r="D35">
        <v>2</v>
      </c>
      <c r="E35" s="23">
        <v>0.045</v>
      </c>
      <c r="F35" s="23"/>
      <c r="G35" s="23"/>
      <c r="H35" s="23"/>
      <c r="I35" s="23">
        <v>0.02</v>
      </c>
      <c r="J35" s="23">
        <v>0.07</v>
      </c>
      <c r="K35" s="147"/>
      <c r="L35" s="144" t="str">
        <f t="shared" si="1"/>
        <v>A - D</v>
      </c>
      <c r="O35" s="108"/>
    </row>
    <row r="36" spans="2:15" ht="12.75">
      <c r="B36" s="81"/>
      <c r="C36" s="122" t="s">
        <v>38</v>
      </c>
      <c r="D36">
        <v>2</v>
      </c>
      <c r="E36" s="23">
        <v>0.1</v>
      </c>
      <c r="F36" s="23"/>
      <c r="G36" s="23"/>
      <c r="H36" s="23"/>
      <c r="I36" s="23">
        <v>0.02</v>
      </c>
      <c r="J36" s="23">
        <v>0.18</v>
      </c>
      <c r="K36" s="147"/>
      <c r="L36" s="144" t="str">
        <f t="shared" si="1"/>
        <v>A - D</v>
      </c>
      <c r="O36" s="108"/>
    </row>
    <row r="37" spans="2:15" ht="12.75">
      <c r="B37" s="81"/>
      <c r="C37" s="122" t="s">
        <v>39</v>
      </c>
      <c r="D37">
        <v>2</v>
      </c>
      <c r="E37" s="23">
        <v>0.0175</v>
      </c>
      <c r="F37" s="23"/>
      <c r="G37" s="23"/>
      <c r="H37" s="23"/>
      <c r="I37" s="23">
        <v>0.015</v>
      </c>
      <c r="J37" s="23">
        <v>0.02</v>
      </c>
      <c r="K37" s="147"/>
      <c r="L37" s="144" t="str">
        <f t="shared" si="1"/>
        <v>A - D</v>
      </c>
      <c r="O37" s="108"/>
    </row>
    <row r="38" spans="2:15" ht="12.75">
      <c r="B38" s="81"/>
      <c r="C38" s="122" t="s">
        <v>40</v>
      </c>
      <c r="D38">
        <v>2</v>
      </c>
      <c r="E38" s="23">
        <v>0.05</v>
      </c>
      <c r="F38" s="23"/>
      <c r="G38" s="23"/>
      <c r="H38" s="23"/>
      <c r="I38" s="23">
        <v>0.02</v>
      </c>
      <c r="J38" s="23">
        <v>0.08</v>
      </c>
      <c r="K38" s="147"/>
      <c r="L38" s="144"/>
      <c r="O38" s="108"/>
    </row>
    <row r="39" spans="2:15" ht="12.75">
      <c r="B39" s="81"/>
      <c r="C39" s="122" t="s">
        <v>41</v>
      </c>
      <c r="D39">
        <v>2</v>
      </c>
      <c r="E39" s="23">
        <v>0.05</v>
      </c>
      <c r="F39" s="23"/>
      <c r="G39" s="23"/>
      <c r="H39" s="23"/>
      <c r="I39" s="23">
        <v>0.02</v>
      </c>
      <c r="J39" s="23">
        <v>0.08</v>
      </c>
      <c r="K39" s="147"/>
      <c r="L39" s="144" t="str">
        <f t="shared" si="1"/>
        <v>A - D</v>
      </c>
      <c r="O39" s="108"/>
    </row>
    <row r="40" spans="2:15" ht="12.75">
      <c r="B40" s="127"/>
      <c r="C40" s="128" t="s">
        <v>42</v>
      </c>
      <c r="E40" s="23">
        <v>0.8525</v>
      </c>
      <c r="F40" s="23"/>
      <c r="G40" s="23"/>
      <c r="H40" s="23"/>
      <c r="I40" s="23"/>
      <c r="J40" s="23"/>
      <c r="K40" s="147"/>
      <c r="L40" s="144" t="str">
        <f t="shared" si="1"/>
        <v>A - D</v>
      </c>
      <c r="O40" s="108"/>
    </row>
    <row r="41" spans="2:15" ht="12.75">
      <c r="B41" s="127"/>
      <c r="C41" s="131" t="s">
        <v>43</v>
      </c>
      <c r="E41" s="23">
        <v>0.9525</v>
      </c>
      <c r="F41" s="23"/>
      <c r="G41" s="23"/>
      <c r="H41" s="23"/>
      <c r="I41" s="23"/>
      <c r="J41" s="23"/>
      <c r="K41" s="147"/>
      <c r="L41" s="144" t="str">
        <f t="shared" si="1"/>
        <v>A - D</v>
      </c>
      <c r="O41" s="108"/>
    </row>
    <row r="42" spans="2:15" ht="12.75">
      <c r="B42" s="81"/>
      <c r="C42" s="122" t="s">
        <v>44</v>
      </c>
      <c r="D42">
        <v>2</v>
      </c>
      <c r="E42" s="23">
        <v>0.175</v>
      </c>
      <c r="F42" s="23"/>
      <c r="G42" s="23"/>
      <c r="H42" s="23"/>
      <c r="I42" s="23">
        <v>0.15</v>
      </c>
      <c r="J42" s="23">
        <v>0.2</v>
      </c>
      <c r="K42" s="147"/>
      <c r="L42" s="152"/>
      <c r="O42" s="108"/>
    </row>
    <row r="43" spans="2:15" ht="13.5" thickBot="1">
      <c r="B43" s="83"/>
      <c r="C43" s="133"/>
      <c r="D43" s="134"/>
      <c r="E43" s="84"/>
      <c r="F43" s="84"/>
      <c r="G43" s="84"/>
      <c r="H43" s="84"/>
      <c r="I43" s="84"/>
      <c r="J43" s="84"/>
      <c r="K43" s="84"/>
      <c r="L43" s="135"/>
      <c r="O43" s="108"/>
    </row>
    <row r="44" spans="2:12" ht="12.75">
      <c r="B44" s="80"/>
      <c r="C44" s="89"/>
      <c r="D44" s="89"/>
      <c r="E44" s="89"/>
      <c r="F44" s="89"/>
      <c r="G44" s="89"/>
      <c r="H44" s="89"/>
      <c r="I44" s="89"/>
      <c r="J44" s="89"/>
      <c r="K44" s="89"/>
      <c r="L44" s="100"/>
    </row>
    <row r="45" spans="2:12" ht="12.75">
      <c r="B45" s="210" t="s">
        <v>119</v>
      </c>
      <c r="C45" s="211"/>
      <c r="D45" s="211"/>
      <c r="E45" s="211"/>
      <c r="F45" s="211"/>
      <c r="G45" s="76" t="str">
        <f>'Combined Score Calcs'!N10</f>
        <v>A</v>
      </c>
      <c r="H45" s="39"/>
      <c r="I45" s="39"/>
      <c r="J45" s="39"/>
      <c r="K45" s="99"/>
      <c r="L45" s="90"/>
    </row>
    <row r="46" spans="2:12" ht="13.5" thickBot="1">
      <c r="B46" s="83"/>
      <c r="C46" s="84"/>
      <c r="D46" s="84"/>
      <c r="E46" s="84"/>
      <c r="F46" s="84"/>
      <c r="G46" s="84"/>
      <c r="H46" s="84"/>
      <c r="I46" s="84"/>
      <c r="J46" s="84"/>
      <c r="K46" s="84"/>
      <c r="L46" s="91"/>
    </row>
    <row r="47" ht="12.75">
      <c r="L47" s="60"/>
    </row>
    <row r="48" ht="12.75">
      <c r="L48" s="60"/>
    </row>
    <row r="49" ht="12.75">
      <c r="L49" s="60"/>
    </row>
    <row r="50" ht="12.75">
      <c r="L50" s="60"/>
    </row>
    <row r="51" spans="7:12" ht="12.75">
      <c r="G51" t="s">
        <v>140</v>
      </c>
      <c r="H51" t="s">
        <v>141</v>
      </c>
      <c r="L51" s="60"/>
    </row>
    <row r="52" spans="7:12" ht="12.75">
      <c r="G52" s="118" t="s">
        <v>21</v>
      </c>
      <c r="H52" s="136">
        <v>1.5</v>
      </c>
      <c r="I52" s="137">
        <v>10</v>
      </c>
      <c r="L52" s="60"/>
    </row>
    <row r="53" spans="7:12" ht="12.75">
      <c r="G53" s="122" t="s">
        <v>22</v>
      </c>
      <c r="H53" s="137">
        <v>65</v>
      </c>
      <c r="I53" s="137">
        <v>270</v>
      </c>
      <c r="L53" s="60"/>
    </row>
    <row r="54" spans="7:12" ht="12.75">
      <c r="G54" s="122" t="s">
        <v>23</v>
      </c>
      <c r="H54" s="137">
        <v>50</v>
      </c>
      <c r="I54" s="137">
        <v>220</v>
      </c>
      <c r="L54" s="60"/>
    </row>
    <row r="55" spans="7:12" ht="12.75">
      <c r="G55" s="122" t="s">
        <v>24</v>
      </c>
      <c r="H55" s="137">
        <v>200</v>
      </c>
      <c r="I55" s="137">
        <v>210</v>
      </c>
      <c r="L55" s="60"/>
    </row>
    <row r="56" spans="7:12" ht="12.75">
      <c r="G56" s="122"/>
      <c r="H56" t="s">
        <v>137</v>
      </c>
      <c r="I56" t="s">
        <v>138</v>
      </c>
      <c r="L56" s="60"/>
    </row>
    <row r="57" spans="7:12" ht="12.75">
      <c r="G57" s="122" t="s">
        <v>28</v>
      </c>
      <c r="H57" s="138">
        <v>0.019</v>
      </c>
      <c r="I57" s="139">
        <v>0.54</v>
      </c>
      <c r="L57" s="60"/>
    </row>
    <row r="58" spans="7:12" ht="12.75">
      <c r="G58" s="122" t="s">
        <v>29</v>
      </c>
      <c r="H58" s="138">
        <v>0.24</v>
      </c>
      <c r="I58" s="139">
        <v>1.5</v>
      </c>
      <c r="L58" s="60"/>
    </row>
    <row r="59" spans="7:12" ht="12.75">
      <c r="G59" s="122" t="s">
        <v>30</v>
      </c>
      <c r="H59" s="138">
        <v>0.085</v>
      </c>
      <c r="I59" s="139">
        <v>1.1</v>
      </c>
      <c r="L59" s="60"/>
    </row>
    <row r="60" spans="7:12" ht="12.75">
      <c r="G60" s="128" t="s">
        <v>31</v>
      </c>
      <c r="H60" s="138">
        <v>0.552</v>
      </c>
      <c r="I60" s="139">
        <v>3.16</v>
      </c>
      <c r="L60" s="60"/>
    </row>
    <row r="61" spans="7:12" ht="12.75">
      <c r="G61" s="122" t="s">
        <v>32</v>
      </c>
      <c r="H61" s="138">
        <v>0.6</v>
      </c>
      <c r="I61" s="139">
        <v>5.1</v>
      </c>
      <c r="L61" s="60"/>
    </row>
    <row r="62" spans="7:12" ht="12.75">
      <c r="G62" s="122" t="s">
        <v>33</v>
      </c>
      <c r="H62" s="138">
        <v>0.665</v>
      </c>
      <c r="I62" s="139">
        <v>2.6</v>
      </c>
      <c r="L62" s="60"/>
    </row>
    <row r="63" spans="7:12" ht="12.75">
      <c r="G63" s="122" t="s">
        <v>34</v>
      </c>
      <c r="H63" s="138">
        <v>0.261</v>
      </c>
      <c r="I63" s="139">
        <v>1.6</v>
      </c>
      <c r="L63" s="60"/>
    </row>
    <row r="64" spans="7:12" ht="12.75">
      <c r="G64" s="122" t="s">
        <v>35</v>
      </c>
      <c r="H64" s="138">
        <v>0.384</v>
      </c>
      <c r="I64" s="139">
        <v>2.8</v>
      </c>
      <c r="L64" s="60"/>
    </row>
    <row r="65" spans="7:12" ht="12.75">
      <c r="G65" s="122" t="s">
        <v>36</v>
      </c>
      <c r="H65" s="138">
        <v>0.8</v>
      </c>
      <c r="I65" s="139">
        <v>8</v>
      </c>
      <c r="L65" s="60"/>
    </row>
    <row r="66" spans="7:9" ht="12.75">
      <c r="G66" s="122" t="s">
        <v>37</v>
      </c>
      <c r="H66" s="138">
        <v>0.8</v>
      </c>
      <c r="I66" s="139">
        <v>8</v>
      </c>
    </row>
    <row r="67" spans="7:9" ht="12.75">
      <c r="G67" s="122" t="s">
        <v>38</v>
      </c>
      <c r="H67" s="138">
        <v>0.43</v>
      </c>
      <c r="I67" s="139">
        <v>1.6</v>
      </c>
    </row>
    <row r="68" spans="7:9" ht="12.75">
      <c r="G68" s="122" t="s">
        <v>39</v>
      </c>
      <c r="H68" s="138">
        <v>0.063</v>
      </c>
      <c r="I68" s="139">
        <v>0.26</v>
      </c>
    </row>
    <row r="69" spans="7:9" ht="12.75">
      <c r="G69" s="122" t="s">
        <v>40</v>
      </c>
      <c r="H69" s="138" t="s">
        <v>139</v>
      </c>
      <c r="I69" s="139" t="s">
        <v>139</v>
      </c>
    </row>
    <row r="70" spans="7:9" ht="12.75">
      <c r="G70" s="122" t="s">
        <v>41</v>
      </c>
      <c r="H70" s="138">
        <v>0.069</v>
      </c>
      <c r="I70" s="139">
        <v>5.2</v>
      </c>
    </row>
    <row r="71" spans="7:9" ht="12.75">
      <c r="G71" s="128" t="s">
        <v>42</v>
      </c>
      <c r="H71" s="138">
        <v>1.7</v>
      </c>
      <c r="I71" s="139">
        <v>9.6</v>
      </c>
    </row>
    <row r="72" spans="7:9" ht="12.75">
      <c r="G72" s="131" t="s">
        <v>43</v>
      </c>
      <c r="H72" s="138">
        <v>4</v>
      </c>
      <c r="I72" s="139">
        <v>45</v>
      </c>
    </row>
    <row r="73" ht="12.75">
      <c r="G73" s="122" t="s">
        <v>44</v>
      </c>
    </row>
  </sheetData>
  <mergeCells count="1">
    <mergeCell ref="B45:F45"/>
  </mergeCells>
  <printOptions/>
  <pageMargins left="0.75" right="0.75" top="1" bottom="1" header="0.5" footer="0.5"/>
  <pageSetup horizontalDpi="600" verticalDpi="600" orientation="portrait" paperSize="133" r:id="rId1"/>
</worksheet>
</file>

<file path=xl/worksheets/sheet2.xml><?xml version="1.0" encoding="utf-8"?>
<worksheet xmlns="http://schemas.openxmlformats.org/spreadsheetml/2006/main" xmlns:r="http://schemas.openxmlformats.org/officeDocument/2006/relationships">
  <dimension ref="B1:AQ42"/>
  <sheetViews>
    <sheetView workbookViewId="0" topLeftCell="A1">
      <selection activeCell="B3" sqref="B3:L23"/>
    </sheetView>
  </sheetViews>
  <sheetFormatPr defaultColWidth="9.140625" defaultRowHeight="12.75"/>
  <cols>
    <col min="3" max="3" width="28.7109375" style="0" bestFit="1" customWidth="1"/>
    <col min="14" max="14" width="34.140625" style="0" customWidth="1"/>
    <col min="16" max="16" width="33.57421875" style="0" customWidth="1"/>
    <col min="17" max="17" width="14.421875" style="0" bestFit="1" customWidth="1"/>
  </cols>
  <sheetData>
    <row r="1" spans="2:15" ht="15.75">
      <c r="B1" s="107" t="s">
        <v>164</v>
      </c>
      <c r="O1" s="109" t="s">
        <v>125</v>
      </c>
    </row>
    <row r="2" spans="12:39" ht="13.5" thickBot="1">
      <c r="L2" s="60"/>
      <c r="N2" s="116" t="s">
        <v>84</v>
      </c>
      <c r="O2" s="110"/>
      <c r="P2" t="s">
        <v>84</v>
      </c>
      <c r="Q2" t="s">
        <v>69</v>
      </c>
      <c r="R2" t="s">
        <v>69</v>
      </c>
      <c r="S2" t="s">
        <v>69</v>
      </c>
      <c r="T2" t="s">
        <v>69</v>
      </c>
      <c r="U2" t="s">
        <v>69</v>
      </c>
      <c r="V2" t="s">
        <v>69</v>
      </c>
      <c r="W2" t="s">
        <v>69</v>
      </c>
      <c r="X2" t="s">
        <v>69</v>
      </c>
      <c r="Y2" t="s">
        <v>69</v>
      </c>
      <c r="Z2" t="s">
        <v>69</v>
      </c>
      <c r="AA2" t="s">
        <v>69</v>
      </c>
      <c r="AB2" t="s">
        <v>69</v>
      </c>
      <c r="AC2" t="s">
        <v>69</v>
      </c>
      <c r="AD2" t="s">
        <v>69</v>
      </c>
      <c r="AE2" t="s">
        <v>69</v>
      </c>
      <c r="AF2" t="s">
        <v>69</v>
      </c>
      <c r="AG2" t="s">
        <v>69</v>
      </c>
      <c r="AH2" t="s">
        <v>69</v>
      </c>
      <c r="AI2" t="s">
        <v>69</v>
      </c>
      <c r="AJ2" t="s">
        <v>69</v>
      </c>
      <c r="AK2" t="s">
        <v>69</v>
      </c>
      <c r="AL2" t="s">
        <v>69</v>
      </c>
      <c r="AM2" t="s">
        <v>69</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36832.447916666664</v>
      </c>
      <c r="R3" s="64">
        <v>36921.385416666664</v>
      </c>
      <c r="S3" s="64">
        <v>37012.427083333336</v>
      </c>
      <c r="T3" s="64">
        <v>37109.447916666664</v>
      </c>
      <c r="U3" s="64">
        <v>37223.42013888889</v>
      </c>
      <c r="V3" s="64">
        <v>37384.45138888889</v>
      </c>
      <c r="W3" s="64">
        <v>37475.42361111111</v>
      </c>
      <c r="X3" s="64">
        <v>37587.48125</v>
      </c>
      <c r="Y3" s="64">
        <v>37649.44097222222</v>
      </c>
      <c r="Z3" s="64">
        <v>37747.42361111111</v>
      </c>
      <c r="AA3" s="64">
        <v>37838.444444444445</v>
      </c>
      <c r="AB3" s="64">
        <v>37951.45138888889</v>
      </c>
      <c r="AC3" s="64">
        <v>38028.444444444445</v>
      </c>
      <c r="AD3" s="64">
        <v>38112.42013888889</v>
      </c>
      <c r="AE3" s="64">
        <v>38203.40902777778</v>
      </c>
      <c r="AF3" s="64">
        <v>38336.430555555555</v>
      </c>
      <c r="AG3" s="64">
        <v>38393.743055555555</v>
      </c>
      <c r="AH3" s="64">
        <v>38478.444444444445</v>
      </c>
      <c r="AI3" s="64">
        <v>38594.44861111111</v>
      </c>
      <c r="AJ3" s="64">
        <v>38681.479166666664</v>
      </c>
      <c r="AK3" s="64">
        <v>38777.381944444445</v>
      </c>
      <c r="AL3" s="64">
        <v>38870.42013888889</v>
      </c>
      <c r="AM3" s="64">
        <v>38961.42361111111</v>
      </c>
      <c r="AO3" s="64"/>
      <c r="AP3" s="64"/>
      <c r="AQ3" s="64"/>
    </row>
    <row r="4" spans="2:39" ht="12.75">
      <c r="B4" s="68" t="s">
        <v>103</v>
      </c>
      <c r="C4" s="93" t="s">
        <v>4</v>
      </c>
      <c r="D4" s="81">
        <f>COUNT(Q4:EC4)</f>
        <v>20</v>
      </c>
      <c r="E4" s="82">
        <f>AVERAGE(Q4:EC4)</f>
        <v>0.12140000000000002</v>
      </c>
      <c r="F4" s="82">
        <f aca="true" t="shared" si="0" ref="F4:F15">CONFIDENCE(0.05,G4,D4)</f>
        <v>0.030744253759290952</v>
      </c>
      <c r="G4" s="82">
        <f>STDEV(Q4:EC4)</f>
        <v>0.07015051487225236</v>
      </c>
      <c r="H4" s="82">
        <f>QUARTILE(Q4:EC4,2)</f>
        <v>0.11499999999999999</v>
      </c>
      <c r="I4" s="82">
        <f>MIN(Q4:EC4)</f>
        <v>0.027</v>
      </c>
      <c r="J4" s="82">
        <f>MAX(Q4:EC4)</f>
        <v>0.25</v>
      </c>
      <c r="K4" s="82">
        <f>PERCENTILE(Q4:EC4,0.95)</f>
        <v>0.2405</v>
      </c>
      <c r="L4" s="102" t="str">
        <f>IF((H4+H5)&lt;0.08,"A",IF((H4+H5)&lt;0.12,"B",IF((H4+H5)&lt;0.295,"C",IF((H4+H5)&lt;0.444,"D","E"))))</f>
        <v>C</v>
      </c>
      <c r="N4" s="116" t="s">
        <v>86</v>
      </c>
      <c r="O4" s="108"/>
      <c r="P4" t="s">
        <v>86</v>
      </c>
      <c r="R4">
        <v>0.13</v>
      </c>
      <c r="S4">
        <v>0.11</v>
      </c>
      <c r="V4">
        <v>0.085</v>
      </c>
      <c r="W4">
        <v>0.18</v>
      </c>
      <c r="X4">
        <v>0.13</v>
      </c>
      <c r="Y4">
        <v>0.053</v>
      </c>
      <c r="Z4">
        <v>0.23</v>
      </c>
      <c r="AA4">
        <v>0.19</v>
      </c>
      <c r="AB4">
        <v>0.048</v>
      </c>
      <c r="AC4">
        <v>0.15</v>
      </c>
      <c r="AD4">
        <v>0.24</v>
      </c>
      <c r="AE4">
        <v>0.25</v>
      </c>
      <c r="AF4">
        <v>0.063</v>
      </c>
      <c r="AG4">
        <v>0.03</v>
      </c>
      <c r="AH4">
        <v>0.082</v>
      </c>
      <c r="AI4">
        <v>0.16</v>
      </c>
      <c r="AJ4">
        <v>0.027</v>
      </c>
      <c r="AK4">
        <v>0.04</v>
      </c>
      <c r="AL4">
        <v>0.12</v>
      </c>
      <c r="AM4">
        <v>0.11</v>
      </c>
    </row>
    <row r="5" spans="2:39" ht="12.75">
      <c r="B5" s="69"/>
      <c r="C5" s="5" t="s">
        <v>5</v>
      </c>
      <c r="D5" s="73">
        <f>COUNT(Q5:EC5)</f>
        <v>18</v>
      </c>
      <c r="E5" s="112">
        <f>AVERAGE(Q5:EC5)</f>
        <v>0.00855555555555556</v>
      </c>
      <c r="F5" s="112">
        <f t="shared" si="0"/>
        <v>0.003907810697525869</v>
      </c>
      <c r="G5" s="112">
        <f>STDEV(Q5:EC5)</f>
        <v>0.008459051693633007</v>
      </c>
      <c r="H5" s="112">
        <f>QUARTILE(Q5:EC5,2)</f>
        <v>0.005</v>
      </c>
      <c r="I5" s="112">
        <f>MIN(Q5:EC5)</f>
        <v>0.005</v>
      </c>
      <c r="J5" s="112">
        <f>MAX(Q5:EC5)</f>
        <v>0.04</v>
      </c>
      <c r="K5" s="112">
        <f>PERCENTILE(Q5:EC5,0.95)</f>
        <v>0.020449999999999968</v>
      </c>
      <c r="L5" s="102"/>
      <c r="N5" s="116" t="s">
        <v>87</v>
      </c>
      <c r="O5" s="108"/>
      <c r="P5" t="s">
        <v>87</v>
      </c>
      <c r="V5">
        <v>0.005</v>
      </c>
      <c r="W5">
        <v>0.012</v>
      </c>
      <c r="X5">
        <v>0.04</v>
      </c>
      <c r="Y5">
        <v>0.007</v>
      </c>
      <c r="Z5">
        <v>0.006</v>
      </c>
      <c r="AA5">
        <v>0.007</v>
      </c>
      <c r="AB5">
        <v>0.006</v>
      </c>
      <c r="AC5">
        <v>0.017</v>
      </c>
      <c r="AD5">
        <v>0.005</v>
      </c>
      <c r="AE5">
        <v>0.005</v>
      </c>
      <c r="AF5">
        <v>0.005</v>
      </c>
      <c r="AG5">
        <v>0.009</v>
      </c>
      <c r="AH5">
        <v>0.005</v>
      </c>
      <c r="AI5">
        <v>0.005</v>
      </c>
      <c r="AJ5">
        <v>0.005</v>
      </c>
      <c r="AK5">
        <v>0.005</v>
      </c>
      <c r="AL5">
        <v>0.005</v>
      </c>
      <c r="AM5">
        <v>0.005</v>
      </c>
    </row>
    <row r="6" spans="2:39" ht="12.75">
      <c r="B6" s="70"/>
      <c r="C6" s="94" t="s">
        <v>6</v>
      </c>
      <c r="D6" s="73">
        <f>COUNT(Q6:EC6)</f>
        <v>23</v>
      </c>
      <c r="E6" s="112">
        <f>AVERAGE(Q6:EC6)</f>
        <v>0.007434782608695654</v>
      </c>
      <c r="F6" s="112">
        <f t="shared" si="0"/>
        <v>0.0007375432934303797</v>
      </c>
      <c r="G6" s="112">
        <f>STDEV(Q6:EC6)</f>
        <v>0.0018046930475976877</v>
      </c>
      <c r="H6" s="112">
        <f>QUARTILE(Q6:EC6,2)</f>
        <v>0.007</v>
      </c>
      <c r="I6" s="112">
        <f>MIN(Q6:EC6)</f>
        <v>0.005</v>
      </c>
      <c r="J6" s="112">
        <f>MAX(Q6:EC6)</f>
        <v>0.012</v>
      </c>
      <c r="K6" s="112">
        <f>PERCENTILE(Q6:EC6,0.95)</f>
        <v>0.01</v>
      </c>
      <c r="L6" s="102" t="str">
        <f>IF((H6)&lt;0.005,"A",IF((H6)&lt;0.008,"B",IF((H6)&lt;0.026,"C",IF((H6)&lt;0.05,"D","E"))))</f>
        <v>B</v>
      </c>
      <c r="N6" s="116" t="s">
        <v>88</v>
      </c>
      <c r="O6" s="108"/>
      <c r="P6" t="s">
        <v>88</v>
      </c>
      <c r="Q6">
        <v>0.006</v>
      </c>
      <c r="R6">
        <v>0.009</v>
      </c>
      <c r="S6">
        <v>0.005</v>
      </c>
      <c r="T6">
        <v>0.006</v>
      </c>
      <c r="U6">
        <v>0.01</v>
      </c>
      <c r="V6">
        <v>0.007</v>
      </c>
      <c r="W6">
        <v>0.005</v>
      </c>
      <c r="X6">
        <v>0.009</v>
      </c>
      <c r="Y6">
        <v>0.007</v>
      </c>
      <c r="Z6">
        <v>0.006</v>
      </c>
      <c r="AA6">
        <v>0.01</v>
      </c>
      <c r="AB6">
        <v>0.007</v>
      </c>
      <c r="AC6">
        <v>0.008</v>
      </c>
      <c r="AD6">
        <v>0.008</v>
      </c>
      <c r="AE6">
        <v>0.012</v>
      </c>
      <c r="AF6">
        <v>0.006</v>
      </c>
      <c r="AG6">
        <v>0.009</v>
      </c>
      <c r="AH6">
        <v>0.005</v>
      </c>
      <c r="AI6">
        <v>0.008</v>
      </c>
      <c r="AJ6">
        <v>0.008</v>
      </c>
      <c r="AK6">
        <v>0.007</v>
      </c>
      <c r="AL6">
        <v>0.007</v>
      </c>
      <c r="AM6">
        <v>0.006</v>
      </c>
    </row>
    <row r="7" spans="2:39" ht="12.75">
      <c r="B7" s="71" t="s">
        <v>104</v>
      </c>
      <c r="C7" s="6" t="s">
        <v>7</v>
      </c>
      <c r="D7" s="86">
        <f>COUNT(Q7:EC7)</f>
        <v>23</v>
      </c>
      <c r="E7" s="113">
        <f>AVERAGE(Q7:EC7)</f>
        <v>7.849130434782611</v>
      </c>
      <c r="F7" s="113">
        <f t="shared" si="0"/>
        <v>0.1382553504154441</v>
      </c>
      <c r="G7" s="113">
        <f>STDEV(Q7:EC7)</f>
        <v>0.33829671005134887</v>
      </c>
      <c r="H7" s="113">
        <f>QUARTILE(Q7:EC7,2)</f>
        <v>7.9</v>
      </c>
      <c r="I7" s="113">
        <f>MIN(Q7:EC7)</f>
        <v>7.13</v>
      </c>
      <c r="J7" s="113">
        <f>MAX(Q7:EC7)</f>
        <v>8.43</v>
      </c>
      <c r="K7" s="113">
        <f>PERCENTILE(Q7:EC7,0.95)</f>
        <v>8.296</v>
      </c>
      <c r="L7" s="103" t="str">
        <f>IF(AND(7.2&lt;H7,H7&lt;9),"A",IF(AND(7.2&lt;=H7,H7&lt;=9),"B",IF(AND(6.5&lt;=H7,H7&lt;=9),"C",IF(AND(6.5&lt;=H7,H7&lt;=10),"D","E"))))</f>
        <v>A</v>
      </c>
      <c r="N7" s="116" t="s">
        <v>89</v>
      </c>
      <c r="O7" s="108"/>
      <c r="P7" t="s">
        <v>89</v>
      </c>
      <c r="Q7">
        <v>8.1</v>
      </c>
      <c r="R7">
        <v>8</v>
      </c>
      <c r="S7">
        <v>8.43</v>
      </c>
      <c r="T7">
        <v>8</v>
      </c>
      <c r="U7">
        <v>7.13</v>
      </c>
      <c r="V7">
        <v>8.17</v>
      </c>
      <c r="W7">
        <v>8.12</v>
      </c>
      <c r="X7">
        <v>8.12</v>
      </c>
      <c r="Y7">
        <v>8.14</v>
      </c>
      <c r="Z7">
        <v>7.87</v>
      </c>
      <c r="AA7">
        <v>7.7</v>
      </c>
      <c r="AB7">
        <v>7.96</v>
      </c>
      <c r="AC7">
        <v>7.43</v>
      </c>
      <c r="AD7">
        <v>7.23</v>
      </c>
      <c r="AE7">
        <v>7.68</v>
      </c>
      <c r="AF7">
        <v>7.84</v>
      </c>
      <c r="AG7">
        <v>8.31</v>
      </c>
      <c r="AH7">
        <v>7.58</v>
      </c>
      <c r="AI7">
        <v>7.89</v>
      </c>
      <c r="AJ7">
        <v>7.61</v>
      </c>
      <c r="AK7">
        <v>7.36</v>
      </c>
      <c r="AL7">
        <v>7.9</v>
      </c>
      <c r="AM7">
        <v>7.96</v>
      </c>
    </row>
    <row r="8" spans="2:39" ht="12.75">
      <c r="B8" s="71"/>
      <c r="C8" s="6" t="s">
        <v>8</v>
      </c>
      <c r="D8" s="81">
        <f>COUNT(Q8:EC8)</f>
        <v>23</v>
      </c>
      <c r="E8" s="44">
        <f>AVERAGE(Q8:EC8)</f>
        <v>11.141739130434782</v>
      </c>
      <c r="F8" s="44">
        <f t="shared" si="0"/>
        <v>1.5582884934941033</v>
      </c>
      <c r="G8" s="44">
        <f>STDEV(Q8:EC8)</f>
        <v>3.8129726558563624</v>
      </c>
      <c r="H8" s="44">
        <f>QUARTILE(Q8:EC8,2)</f>
        <v>11.8</v>
      </c>
      <c r="I8" s="44">
        <f>MIN(Q8:EC8)</f>
        <v>4.3</v>
      </c>
      <c r="J8" s="44">
        <f>MAX(Q8:EC8)</f>
        <v>20.4</v>
      </c>
      <c r="K8" s="44">
        <f>PERCENTILE(Q8:EC8,0.95)</f>
        <v>15.43</v>
      </c>
      <c r="L8" s="102" t="str">
        <f>IF(H8&lt;18,"A",IF(H8&lt;20,"B",IF(H8&lt;22,"C",IF(H8&lt;25,"D","E"))))</f>
        <v>A</v>
      </c>
      <c r="N8" s="116" t="s">
        <v>90</v>
      </c>
      <c r="O8" s="108"/>
      <c r="P8" t="s">
        <v>90</v>
      </c>
      <c r="Q8">
        <v>12.5</v>
      </c>
      <c r="R8">
        <v>14.4</v>
      </c>
      <c r="S8">
        <v>11.8</v>
      </c>
      <c r="T8">
        <v>4.3</v>
      </c>
      <c r="U8">
        <v>12.4</v>
      </c>
      <c r="V8">
        <v>9.02</v>
      </c>
      <c r="W8">
        <v>8.2</v>
      </c>
      <c r="X8">
        <v>14.8</v>
      </c>
      <c r="Y8">
        <v>13.9</v>
      </c>
      <c r="Z8">
        <v>6.3</v>
      </c>
      <c r="AA8">
        <v>8.1</v>
      </c>
      <c r="AB8">
        <v>12.6</v>
      </c>
      <c r="AC8">
        <v>15.5</v>
      </c>
      <c r="AD8">
        <v>11.8</v>
      </c>
      <c r="AE8">
        <v>5.9</v>
      </c>
      <c r="AF8">
        <v>13.2</v>
      </c>
      <c r="AG8">
        <v>20.4</v>
      </c>
      <c r="AH8">
        <v>8.6</v>
      </c>
      <c r="AI8">
        <v>9.37</v>
      </c>
      <c r="AJ8">
        <v>13.25</v>
      </c>
      <c r="AK8">
        <v>14.69</v>
      </c>
      <c r="AL8">
        <v>6.83</v>
      </c>
      <c r="AM8">
        <v>8.4</v>
      </c>
    </row>
    <row r="9" spans="2:39" ht="12.75">
      <c r="B9" s="71"/>
      <c r="C9" s="7" t="s">
        <v>9</v>
      </c>
      <c r="D9" s="81">
        <f>COUNT(Q9:EC9)</f>
        <v>23</v>
      </c>
      <c r="E9" s="44">
        <f>AVERAGE(Q9:EC9)</f>
        <v>103.89565217391304</v>
      </c>
      <c r="F9" s="44">
        <f t="shared" si="0"/>
        <v>1.9897750083254533</v>
      </c>
      <c r="G9" s="44">
        <f>STDEV(Q9:EC9)</f>
        <v>4.868776051242804</v>
      </c>
      <c r="H9" s="44">
        <f>QUARTILE(Q9:EC9,2)</f>
        <v>102.2</v>
      </c>
      <c r="I9" s="44">
        <f>MIN(Q9:EC9)</f>
        <v>95.9</v>
      </c>
      <c r="J9" s="44">
        <f>MAX(Q9:EC9)</f>
        <v>115</v>
      </c>
      <c r="K9" s="44">
        <f>PERCENTILE(Q9:EC9,0.95)</f>
        <v>111.27</v>
      </c>
      <c r="L9" s="104" t="str">
        <f>IF(AND(99&lt;=H9,H9&lt;=103),"A",IF(AND(98&lt;=H9,H9&lt;=105),"B",IF(H9&gt;90,"C",IF(H9&gt;80,"D","E"))))</f>
        <v>A</v>
      </c>
      <c r="N9" s="116" t="s">
        <v>91</v>
      </c>
      <c r="O9" s="108"/>
      <c r="P9" t="s">
        <v>91</v>
      </c>
      <c r="Q9">
        <v>100.3</v>
      </c>
      <c r="R9">
        <v>95.9</v>
      </c>
      <c r="S9">
        <v>107.9</v>
      </c>
      <c r="T9">
        <v>100.2</v>
      </c>
      <c r="U9">
        <v>100.4</v>
      </c>
      <c r="V9">
        <v>107.1</v>
      </c>
      <c r="W9">
        <v>111</v>
      </c>
      <c r="X9">
        <v>109.1</v>
      </c>
      <c r="Y9">
        <v>115</v>
      </c>
      <c r="Z9">
        <v>100.8</v>
      </c>
      <c r="AA9">
        <v>102.2</v>
      </c>
      <c r="AB9">
        <v>100.9</v>
      </c>
      <c r="AC9">
        <v>100.2</v>
      </c>
      <c r="AD9">
        <v>100.5</v>
      </c>
      <c r="AE9">
        <v>100.5</v>
      </c>
      <c r="AF9">
        <v>108.4</v>
      </c>
      <c r="AG9">
        <v>107.7</v>
      </c>
      <c r="AH9">
        <v>102.5</v>
      </c>
      <c r="AI9">
        <v>111.3</v>
      </c>
      <c r="AJ9">
        <v>104.9</v>
      </c>
      <c r="AK9">
        <v>98.2</v>
      </c>
      <c r="AL9">
        <v>101</v>
      </c>
      <c r="AM9">
        <v>103.6</v>
      </c>
    </row>
    <row r="10" spans="2:39" ht="12.75">
      <c r="B10" s="71"/>
      <c r="C10" s="6" t="s">
        <v>10</v>
      </c>
      <c r="D10" s="81">
        <f>COUNT(Q10:EC10)</f>
        <v>23</v>
      </c>
      <c r="E10" s="44">
        <f>AVERAGE(Q10:EC10)</f>
        <v>11.445652173913043</v>
      </c>
      <c r="F10" s="44">
        <f t="shared" si="0"/>
        <v>0.44484604967735253</v>
      </c>
      <c r="G10" s="44">
        <f>STDEV(Q10:EC10)</f>
        <v>1.0884928115474688</v>
      </c>
      <c r="H10" s="44">
        <f>QUARTILE(Q10:EC10,2)</f>
        <v>11.52</v>
      </c>
      <c r="I10" s="44">
        <f>MIN(Q10:EC10)</f>
        <v>9.72</v>
      </c>
      <c r="J10" s="44">
        <f>MAX(Q10:EC10)</f>
        <v>13.1</v>
      </c>
      <c r="K10" s="44">
        <f>PERCENTILE(Q10:EC10,0.95)</f>
        <v>13.055</v>
      </c>
      <c r="L10" s="102"/>
      <c r="N10" s="116" t="s">
        <v>92</v>
      </c>
      <c r="O10" s="108"/>
      <c r="P10" t="s">
        <v>92</v>
      </c>
      <c r="Q10">
        <v>10.02</v>
      </c>
      <c r="R10">
        <v>9.8</v>
      </c>
      <c r="S10">
        <v>11.52</v>
      </c>
      <c r="T10">
        <v>13.1</v>
      </c>
      <c r="U10">
        <v>10.68</v>
      </c>
      <c r="V10">
        <v>12.36</v>
      </c>
      <c r="W10">
        <v>13.09</v>
      </c>
      <c r="X10">
        <v>11.03</v>
      </c>
      <c r="Y10">
        <v>11.84</v>
      </c>
      <c r="Z10">
        <v>12.47</v>
      </c>
      <c r="AA10">
        <v>12.09</v>
      </c>
      <c r="AB10">
        <v>10.73</v>
      </c>
      <c r="AC10">
        <v>9.99</v>
      </c>
      <c r="AD10">
        <v>10.86</v>
      </c>
      <c r="AE10">
        <v>12.5</v>
      </c>
      <c r="AF10">
        <v>11.36</v>
      </c>
      <c r="AG10">
        <v>9.72</v>
      </c>
      <c r="AH10">
        <v>11.96</v>
      </c>
      <c r="AI10">
        <v>12.74</v>
      </c>
      <c r="AJ10">
        <v>10.98</v>
      </c>
      <c r="AK10">
        <v>9.96</v>
      </c>
      <c r="AL10">
        <v>12.31</v>
      </c>
      <c r="AM10">
        <v>12.14</v>
      </c>
    </row>
    <row r="11" spans="2:39" ht="12.75">
      <c r="B11" s="72"/>
      <c r="C11" s="95" t="s">
        <v>11</v>
      </c>
      <c r="D11" s="87">
        <f>COUNT(Q11:EC11)</f>
        <v>23</v>
      </c>
      <c r="E11" s="115">
        <f>AVERAGE(Q11:EC11)</f>
        <v>143.51304347826087</v>
      </c>
      <c r="F11" s="115">
        <f t="shared" si="0"/>
        <v>13.147782123959859</v>
      </c>
      <c r="G11" s="115">
        <f>STDEV(Q11:EC11)</f>
        <v>32.17127889547991</v>
      </c>
      <c r="H11" s="115">
        <f>QUARTILE(Q11:EC11,2)</f>
        <v>148</v>
      </c>
      <c r="I11" s="115">
        <f>MIN(Q11:EC11)</f>
        <v>86.7</v>
      </c>
      <c r="J11" s="115">
        <f>MAX(Q11:EC11)</f>
        <v>212.6</v>
      </c>
      <c r="K11" s="115">
        <f>PERCENTILE(Q11:EC11,0.95)</f>
        <v>190.41</v>
      </c>
      <c r="L11" s="105"/>
      <c r="N11" s="116" t="s">
        <v>93</v>
      </c>
      <c r="O11" s="108"/>
      <c r="P11" t="s">
        <v>93</v>
      </c>
      <c r="Q11">
        <v>126.4</v>
      </c>
      <c r="R11">
        <v>191.9</v>
      </c>
      <c r="S11">
        <v>212.6</v>
      </c>
      <c r="T11">
        <v>161.2</v>
      </c>
      <c r="U11">
        <v>86.7</v>
      </c>
      <c r="V11">
        <v>177</v>
      </c>
      <c r="W11">
        <v>148</v>
      </c>
      <c r="X11">
        <v>149</v>
      </c>
      <c r="Y11">
        <v>169</v>
      </c>
      <c r="Z11">
        <v>164</v>
      </c>
      <c r="AA11">
        <v>156</v>
      </c>
      <c r="AB11">
        <v>155</v>
      </c>
      <c r="AC11">
        <v>94</v>
      </c>
      <c r="AD11">
        <v>94</v>
      </c>
      <c r="AE11">
        <v>107</v>
      </c>
      <c r="AF11">
        <v>147</v>
      </c>
      <c r="AG11">
        <v>152</v>
      </c>
      <c r="AH11">
        <v>131</v>
      </c>
      <c r="AI11">
        <v>113</v>
      </c>
      <c r="AJ11">
        <v>174</v>
      </c>
      <c r="AK11">
        <v>147</v>
      </c>
      <c r="AL11">
        <v>117</v>
      </c>
      <c r="AM11">
        <v>128</v>
      </c>
    </row>
    <row r="12" spans="2:39" ht="12.75">
      <c r="B12" s="68" t="s">
        <v>105</v>
      </c>
      <c r="C12" s="4" t="s">
        <v>12</v>
      </c>
      <c r="D12" s="81">
        <f>COUNT(Q12:EC12)</f>
        <v>23</v>
      </c>
      <c r="E12" s="82">
        <f>AVERAGE(Q12:EC12)</f>
        <v>2.32</v>
      </c>
      <c r="F12" s="82">
        <f t="shared" si="0"/>
        <v>1.1300004035391877</v>
      </c>
      <c r="G12" s="82">
        <f>STDEV(Q12:EC12)</f>
        <v>2.764995479200644</v>
      </c>
      <c r="H12" s="82">
        <f>QUARTILE(Q12:EC12,2)</f>
        <v>1.23</v>
      </c>
      <c r="I12" s="82">
        <f>MIN(Q12:EC12)</f>
        <v>0.78</v>
      </c>
      <c r="J12" s="82">
        <f>MAX(Q12:EC12)</f>
        <v>13.1</v>
      </c>
      <c r="K12" s="82">
        <f>PERCENTILE(Q12:EC12,0.95)</f>
        <v>7.0209999999999955</v>
      </c>
      <c r="L12" s="102" t="str">
        <f>IF(H12&lt;1,"A",IF(H12&lt;2,"B",IF(H12&lt;3,"C",IF(H12&lt;5,"D","E"))))</f>
        <v>B</v>
      </c>
      <c r="N12" s="116" t="s">
        <v>94</v>
      </c>
      <c r="O12" s="108"/>
      <c r="P12" t="s">
        <v>94</v>
      </c>
      <c r="Q12">
        <v>2.44</v>
      </c>
      <c r="R12">
        <v>0.97</v>
      </c>
      <c r="S12">
        <v>0.78</v>
      </c>
      <c r="T12">
        <v>0.93</v>
      </c>
      <c r="U12">
        <v>13.1</v>
      </c>
      <c r="V12">
        <v>1.01</v>
      </c>
      <c r="W12">
        <v>1.71</v>
      </c>
      <c r="X12">
        <v>1.4</v>
      </c>
      <c r="Y12">
        <v>0.87</v>
      </c>
      <c r="Z12">
        <v>1.06</v>
      </c>
      <c r="AA12">
        <v>1.08</v>
      </c>
      <c r="AB12">
        <v>1.12</v>
      </c>
      <c r="AC12">
        <v>7.3</v>
      </c>
      <c r="AD12">
        <v>4.51</v>
      </c>
      <c r="AE12">
        <v>1.97</v>
      </c>
      <c r="AF12">
        <v>1.2</v>
      </c>
      <c r="AG12">
        <v>1.23</v>
      </c>
      <c r="AH12">
        <v>0.98</v>
      </c>
      <c r="AI12">
        <v>1.84</v>
      </c>
      <c r="AJ12">
        <v>1.62</v>
      </c>
      <c r="AK12">
        <v>1.2</v>
      </c>
      <c r="AL12">
        <v>2.86</v>
      </c>
      <c r="AM12">
        <v>2.18</v>
      </c>
    </row>
    <row r="13" spans="2:39" ht="12.75">
      <c r="B13" s="71"/>
      <c r="C13" s="6" t="s">
        <v>13</v>
      </c>
      <c r="D13" s="81">
        <f>COUNT(Q13:EC13)</f>
        <v>23</v>
      </c>
      <c r="E13" s="44">
        <f>AVERAGE(Q13:EC13)</f>
        <v>3.2600000000000002</v>
      </c>
      <c r="F13" s="44">
        <f t="shared" si="0"/>
        <v>0.5508831183731228</v>
      </c>
      <c r="G13" s="44">
        <f>STDEV(Q13:EC13)</f>
        <v>1.3479546795726558</v>
      </c>
      <c r="H13" s="44">
        <f>QUARTILE(Q13:EC13,2)</f>
        <v>3.25</v>
      </c>
      <c r="I13" s="44">
        <f>MIN(Q13:EC13)</f>
        <v>0.53</v>
      </c>
      <c r="J13" s="44">
        <f>MAX(Q13:EC13)</f>
        <v>6</v>
      </c>
      <c r="K13" s="44">
        <f>PERCENTILE(Q13:EC13,0.95)</f>
        <v>5.67</v>
      </c>
      <c r="L13" s="102" t="str">
        <f>IF(H13&gt;6,"A",IF(H13&gt;4,"B",IF(H13&gt;2.5,"C",IF(H13&gt;0.6,"D","E"))))</f>
        <v>C</v>
      </c>
      <c r="N13" s="116" t="s">
        <v>13</v>
      </c>
      <c r="O13" s="108"/>
      <c r="P13" t="s">
        <v>13</v>
      </c>
      <c r="Q13">
        <v>3.45</v>
      </c>
      <c r="R13">
        <v>4.1</v>
      </c>
      <c r="S13">
        <v>5.7</v>
      </c>
      <c r="T13">
        <v>6</v>
      </c>
      <c r="U13">
        <v>0.53</v>
      </c>
      <c r="V13">
        <v>3.75</v>
      </c>
      <c r="W13">
        <v>3.4</v>
      </c>
      <c r="X13">
        <v>2.6</v>
      </c>
      <c r="Y13">
        <v>5.4</v>
      </c>
      <c r="Z13">
        <v>4</v>
      </c>
      <c r="AA13">
        <v>3.2</v>
      </c>
      <c r="AB13">
        <v>3.25</v>
      </c>
      <c r="AC13">
        <v>1</v>
      </c>
      <c r="AD13">
        <v>1.8</v>
      </c>
      <c r="AE13">
        <v>3.9</v>
      </c>
      <c r="AF13">
        <v>2.9</v>
      </c>
      <c r="AG13">
        <v>3.6</v>
      </c>
      <c r="AH13">
        <v>4.2</v>
      </c>
      <c r="AI13">
        <v>2.3</v>
      </c>
      <c r="AJ13">
        <v>2.5</v>
      </c>
      <c r="AK13">
        <v>2.9</v>
      </c>
      <c r="AL13">
        <v>2.4</v>
      </c>
      <c r="AM13">
        <v>2.1</v>
      </c>
    </row>
    <row r="14" spans="2:39" ht="12.75">
      <c r="B14" s="72"/>
      <c r="C14" s="95" t="s">
        <v>14</v>
      </c>
      <c r="D14" s="87">
        <f>COUNT(Q14:EC14)</f>
        <v>22</v>
      </c>
      <c r="E14" s="115">
        <f>AVERAGE(Q14:EC14)</f>
        <v>1.7954545454545454</v>
      </c>
      <c r="F14" s="115">
        <f t="shared" si="0"/>
        <v>0.9602236645440939</v>
      </c>
      <c r="G14" s="115">
        <f>STDEV(Q14:EC14)</f>
        <v>2.297923964245672</v>
      </c>
      <c r="H14" s="115">
        <f>QUARTILE(Q14:EC14,2)</f>
        <v>1</v>
      </c>
      <c r="I14" s="115">
        <f>MIN(Q14:EC14)</f>
        <v>0.5</v>
      </c>
      <c r="J14" s="115">
        <f>MAX(Q14:EC14)</f>
        <v>9</v>
      </c>
      <c r="K14" s="115">
        <f>PERCENTILE(Q14:EC14,0.95)</f>
        <v>7.799999999999997</v>
      </c>
      <c r="L14" s="102"/>
      <c r="N14" s="116" t="s">
        <v>95</v>
      </c>
      <c r="O14" s="108"/>
      <c r="P14" t="s">
        <v>95</v>
      </c>
      <c r="Q14">
        <v>8</v>
      </c>
      <c r="R14">
        <v>2</v>
      </c>
      <c r="S14">
        <v>1</v>
      </c>
      <c r="U14">
        <v>9</v>
      </c>
      <c r="V14">
        <v>0.5</v>
      </c>
      <c r="W14">
        <v>0.7</v>
      </c>
      <c r="X14">
        <v>1</v>
      </c>
      <c r="Y14">
        <v>0.8</v>
      </c>
      <c r="Z14">
        <v>0.8</v>
      </c>
      <c r="AA14">
        <v>0.6</v>
      </c>
      <c r="AB14">
        <v>0.9</v>
      </c>
      <c r="AC14">
        <v>4</v>
      </c>
      <c r="AD14">
        <v>2</v>
      </c>
      <c r="AE14">
        <v>0.9</v>
      </c>
      <c r="AF14">
        <v>0.9</v>
      </c>
      <c r="AG14">
        <v>1</v>
      </c>
      <c r="AH14">
        <v>0.6</v>
      </c>
      <c r="AI14">
        <v>1</v>
      </c>
      <c r="AJ14">
        <v>1</v>
      </c>
      <c r="AK14">
        <v>0.8</v>
      </c>
      <c r="AL14">
        <v>1</v>
      </c>
      <c r="AM14">
        <v>1</v>
      </c>
    </row>
    <row r="15" spans="2:39" ht="12.75">
      <c r="B15" s="208" t="s">
        <v>267</v>
      </c>
      <c r="C15" s="8" t="s">
        <v>268</v>
      </c>
      <c r="D15" s="81">
        <f>COUNT(Q15:EC15)</f>
        <v>23</v>
      </c>
      <c r="E15" s="40">
        <f>AVERAGE(Q15:EC15)</f>
        <v>119.78260869565217</v>
      </c>
      <c r="F15" s="40">
        <f t="shared" si="0"/>
        <v>80.73966945704709</v>
      </c>
      <c r="G15" s="40">
        <f>STDEV(Q15:EC15)</f>
        <v>197.56171797964097</v>
      </c>
      <c r="H15" s="40">
        <f>QUARTILE(Q15:EC15,2)</f>
        <v>35</v>
      </c>
      <c r="I15" s="40">
        <f>MIN(Q15:EC15)</f>
        <v>5</v>
      </c>
      <c r="J15" s="40">
        <f>MAX(Q15:EC15)</f>
        <v>800</v>
      </c>
      <c r="K15" s="40">
        <f>PERCENTILE(Q15:EC15,0.95)</f>
        <v>577.9999999999994</v>
      </c>
      <c r="L15" s="106" t="str">
        <f>IF(H15&lt;10,"A",IF(H15&lt;130,"B",IF(H15&lt;260,"C",IF(H15&lt;550,"D","E"))))</f>
        <v>B</v>
      </c>
      <c r="N15" s="116" t="s">
        <v>255</v>
      </c>
      <c r="O15" s="108"/>
      <c r="P15" t="s">
        <v>255</v>
      </c>
      <c r="Q15">
        <v>30</v>
      </c>
      <c r="R15">
        <v>140</v>
      </c>
      <c r="S15">
        <v>200</v>
      </c>
      <c r="T15">
        <v>5</v>
      </c>
      <c r="U15">
        <v>620</v>
      </c>
      <c r="V15">
        <v>50</v>
      </c>
      <c r="W15">
        <v>30</v>
      </c>
      <c r="X15">
        <v>20</v>
      </c>
      <c r="Y15">
        <v>35</v>
      </c>
      <c r="Z15">
        <v>195</v>
      </c>
      <c r="AA15">
        <v>10</v>
      </c>
      <c r="AB15">
        <v>30</v>
      </c>
      <c r="AC15">
        <v>800</v>
      </c>
      <c r="AD15">
        <v>180</v>
      </c>
      <c r="AE15">
        <v>5</v>
      </c>
      <c r="AF15">
        <v>30</v>
      </c>
      <c r="AG15">
        <v>75</v>
      </c>
      <c r="AH15">
        <v>20</v>
      </c>
      <c r="AI15">
        <v>25</v>
      </c>
      <c r="AJ15">
        <v>65</v>
      </c>
      <c r="AK15">
        <v>110</v>
      </c>
      <c r="AL15">
        <v>30</v>
      </c>
      <c r="AM15">
        <v>50</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128.49283333333332</v>
      </c>
      <c r="F17" s="44">
        <f>CONFIDENCE(0.05,G17,D17)</f>
        <v>2.6205566466101904</v>
      </c>
      <c r="G17" s="44">
        <f>STDEV(Q17:EC17)</f>
        <v>3.2750737650724226</v>
      </c>
      <c r="H17" s="44">
        <f>QUARTILE(Q17:EC17,2)</f>
        <v>128.9785</v>
      </c>
      <c r="I17" s="44">
        <f>MIN(Q17:EC17)</f>
        <v>124</v>
      </c>
      <c r="J17" s="44">
        <f>MAX(Q17:EC17)</f>
        <v>132</v>
      </c>
      <c r="K17" s="44">
        <f>PERCENTILE(Q17:EC17,0.95)</f>
        <v>131.75</v>
      </c>
      <c r="L17" s="102" t="str">
        <f>IF(H17&gt;120,"A",IF(H17&gt;100,"B",IF(H17&gt;80,"C",IF(H17&gt;60,"D","E"))))</f>
        <v>A</v>
      </c>
      <c r="N17" s="116" t="s">
        <v>17</v>
      </c>
      <c r="O17" s="108"/>
      <c r="P17" t="s">
        <v>17</v>
      </c>
      <c r="Q17">
        <v>132</v>
      </c>
      <c r="U17">
        <v>131</v>
      </c>
      <c r="X17">
        <v>126</v>
      </c>
      <c r="AB17">
        <v>131</v>
      </c>
      <c r="AF17">
        <v>124</v>
      </c>
      <c r="AJ17">
        <v>126.957</v>
      </c>
    </row>
    <row r="18" spans="2:36" ht="12.75">
      <c r="B18" s="74"/>
      <c r="C18" s="96" t="s">
        <v>18</v>
      </c>
      <c r="D18" s="81">
        <f>COUNT(Q18:EC18)</f>
        <v>6</v>
      </c>
      <c r="E18" s="44">
        <f>AVERAGE(Q18:EC18)</f>
        <v>7.5328333333333335</v>
      </c>
      <c r="F18" s="44">
        <f>CONFIDENCE(0.05,G18,D18)</f>
        <v>0.44484430469983055</v>
      </c>
      <c r="G18" s="44">
        <f>STDEV(Q18:EC18)</f>
        <v>0.5559497879005447</v>
      </c>
      <c r="H18" s="44">
        <f>QUARTILE(Q18:EC18,2)</f>
        <v>7.5649999999999995</v>
      </c>
      <c r="I18" s="44">
        <f>MIN(Q18:EC18)</f>
        <v>6.73</v>
      </c>
      <c r="J18" s="44">
        <f>MAX(Q18:EC18)</f>
        <v>8.45</v>
      </c>
      <c r="K18" s="44">
        <f>PERCENTILE(Q18:EC18,0.95)</f>
        <v>8.23425</v>
      </c>
      <c r="L18" s="105" t="str">
        <f>IF(H18&gt;6,"A",IF(H18&gt;5,"B",IF(H18&gt;4,"C",IF(H18&gt;3,"D","E"))))</f>
        <v>A</v>
      </c>
      <c r="N18" s="116" t="s">
        <v>18</v>
      </c>
      <c r="O18" s="108"/>
      <c r="P18" t="s">
        <v>18</v>
      </c>
      <c r="Q18">
        <v>6.73</v>
      </c>
      <c r="U18">
        <v>7.3</v>
      </c>
      <c r="X18">
        <v>7.58</v>
      </c>
      <c r="AB18">
        <v>8.45</v>
      </c>
      <c r="AF18">
        <v>7.55</v>
      </c>
      <c r="AJ18">
        <v>7.587</v>
      </c>
    </row>
    <row r="19" spans="2:36" ht="12.75">
      <c r="B19" s="71" t="s">
        <v>106</v>
      </c>
      <c r="C19" s="7" t="s">
        <v>19</v>
      </c>
      <c r="D19" s="86">
        <f>COUNT(Q19:EC19)</f>
        <v>7</v>
      </c>
      <c r="E19" s="113">
        <f>AVERAGE(Q19:EC19)</f>
        <v>9.249285714285714</v>
      </c>
      <c r="F19" s="113">
        <f>CONFIDENCE(0.05,G19,D19)</f>
        <v>0.6897384981856373</v>
      </c>
      <c r="G19" s="113">
        <f>STDEV(Q19:EC19)</f>
        <v>0.9310765658250687</v>
      </c>
      <c r="H19" s="113">
        <f>QUARTILE(Q19:EC19,2)</f>
        <v>9.6</v>
      </c>
      <c r="I19" s="113">
        <f>MIN(Q19:EC19)</f>
        <v>7.37</v>
      </c>
      <c r="J19" s="113">
        <f>MAX(Q19:EC19)</f>
        <v>10</v>
      </c>
      <c r="K19" s="113">
        <f>PERCENTILE(Q19:EC19,0.95)</f>
        <v>9.97</v>
      </c>
      <c r="L19" s="102" t="str">
        <f>IF(H19&gt;8,"A",IF(H19&gt;6,"B",IF(H19&gt;4,"C",IF(H19&gt;2,"D","E"))))</f>
        <v>A</v>
      </c>
      <c r="N19" s="116" t="s">
        <v>96</v>
      </c>
      <c r="O19" s="108"/>
      <c r="P19" t="s">
        <v>96</v>
      </c>
      <c r="R19">
        <v>8.83</v>
      </c>
      <c r="S19">
        <v>9.18</v>
      </c>
      <c r="T19">
        <v>7.37</v>
      </c>
      <c r="X19">
        <v>9.6</v>
      </c>
      <c r="AB19">
        <v>9.9</v>
      </c>
      <c r="AF19">
        <v>10</v>
      </c>
      <c r="AJ19">
        <v>9.865</v>
      </c>
    </row>
    <row r="20" spans="2:36" ht="13.5" thickBot="1">
      <c r="B20" s="72"/>
      <c r="C20" s="97" t="s">
        <v>122</v>
      </c>
      <c r="D20" s="87">
        <f>COUNT(Q20:EC20)</f>
        <v>4</v>
      </c>
      <c r="E20" s="114">
        <f>AVERAGE(Q20:EC20)</f>
        <v>0</v>
      </c>
      <c r="F20" s="114" t="e">
        <f>CONFIDENCE(0.05,G20,D20)</f>
        <v>#NUM!</v>
      </c>
      <c r="G20" s="114">
        <f>STDEV(Q20:EC20)</f>
        <v>0</v>
      </c>
      <c r="H20" s="114">
        <f>QUARTILE(Q20:EC20,2)</f>
        <v>0</v>
      </c>
      <c r="I20" s="114">
        <f>MIN(Q20:EC20)</f>
        <v>0</v>
      </c>
      <c r="J20" s="114">
        <f>MAX(Q20:EC20)</f>
        <v>0</v>
      </c>
      <c r="K20" s="114">
        <f>PERCENTILE(Q20:EC20,0.95)</f>
        <v>0</v>
      </c>
      <c r="L20" s="105"/>
      <c r="N20" s="116" t="s">
        <v>97</v>
      </c>
      <c r="O20" s="108"/>
      <c r="P20" t="s">
        <v>97</v>
      </c>
      <c r="X20">
        <v>0</v>
      </c>
      <c r="AB20">
        <v>0</v>
      </c>
      <c r="AF20">
        <v>0</v>
      </c>
      <c r="AJ20">
        <v>0</v>
      </c>
    </row>
    <row r="21" spans="2:15" ht="12.75">
      <c r="B21" s="80"/>
      <c r="C21" s="89"/>
      <c r="D21" s="89"/>
      <c r="E21" s="89"/>
      <c r="F21" s="89"/>
      <c r="G21" s="89"/>
      <c r="H21" s="89"/>
      <c r="I21" s="89"/>
      <c r="J21" s="89"/>
      <c r="K21" s="89"/>
      <c r="L21" s="100"/>
      <c r="O21" s="108"/>
    </row>
    <row r="22" spans="2:17" ht="12.75">
      <c r="B22" s="210" t="s">
        <v>119</v>
      </c>
      <c r="C22" s="211"/>
      <c r="D22" s="211"/>
      <c r="E22" s="211"/>
      <c r="F22" s="211"/>
      <c r="G22" s="76" t="str">
        <f>'Combined Score Calcs'!AE10</f>
        <v>B</v>
      </c>
      <c r="H22" s="39"/>
      <c r="I22" s="39"/>
      <c r="J22" s="39"/>
      <c r="K22" s="99"/>
      <c r="L22" s="90"/>
      <c r="N22" s="111"/>
      <c r="O22" s="108"/>
      <c r="Q22" s="20"/>
    </row>
    <row r="23" spans="2:17" ht="13.5" thickBot="1">
      <c r="B23" s="83"/>
      <c r="C23" s="84"/>
      <c r="D23" s="84"/>
      <c r="E23" s="84"/>
      <c r="F23" s="84"/>
      <c r="G23" s="84"/>
      <c r="H23" s="84"/>
      <c r="I23" s="84"/>
      <c r="J23" s="84"/>
      <c r="K23" s="84"/>
      <c r="L23" s="91"/>
      <c r="N23" s="111"/>
      <c r="O23" s="108"/>
      <c r="Q23" s="20"/>
    </row>
    <row r="24" spans="12:17" ht="12.75">
      <c r="L24" s="60"/>
      <c r="N24" s="111"/>
      <c r="O24" s="108"/>
      <c r="Q24" s="20"/>
    </row>
    <row r="25" spans="12:15" ht="12.75">
      <c r="L25" s="60"/>
      <c r="O25" s="108"/>
    </row>
    <row r="26" spans="12:15" ht="12.75">
      <c r="L26" s="60"/>
      <c r="O26" s="108"/>
    </row>
    <row r="27" spans="12:15" ht="12.75">
      <c r="L27" s="60"/>
      <c r="O27" s="108"/>
    </row>
    <row r="28" spans="7:15" ht="12.75">
      <c r="G28" t="s">
        <v>140</v>
      </c>
      <c r="H28" t="s">
        <v>141</v>
      </c>
      <c r="L28" s="60"/>
      <c r="O28" s="108"/>
    </row>
    <row r="29" spans="5:15" ht="12.75">
      <c r="E29" s="158"/>
      <c r="F29" s="153"/>
      <c r="G29" s="118" t="s">
        <v>21</v>
      </c>
      <c r="H29" s="136">
        <v>1.5</v>
      </c>
      <c r="I29" s="137">
        <v>10</v>
      </c>
      <c r="J29" s="119"/>
      <c r="K29" s="119"/>
      <c r="L29" s="60"/>
      <c r="O29" s="108"/>
    </row>
    <row r="30" spans="5:12" ht="12.75">
      <c r="E30" s="158"/>
      <c r="F30" s="153"/>
      <c r="G30" s="122" t="s">
        <v>22</v>
      </c>
      <c r="H30" s="137">
        <v>65</v>
      </c>
      <c r="I30" s="137">
        <v>270</v>
      </c>
      <c r="J30" s="119"/>
      <c r="K30" s="119"/>
      <c r="L30" s="60"/>
    </row>
    <row r="31" spans="5:12" ht="12.75">
      <c r="E31" s="158"/>
      <c r="F31" s="153"/>
      <c r="G31" s="122" t="s">
        <v>23</v>
      </c>
      <c r="H31" s="137">
        <v>50</v>
      </c>
      <c r="I31" s="137">
        <v>220</v>
      </c>
      <c r="J31" s="119"/>
      <c r="K31" s="119"/>
      <c r="L31" s="60"/>
    </row>
    <row r="32" spans="5:12" ht="12.75">
      <c r="E32" s="158"/>
      <c r="F32" s="153"/>
      <c r="G32" s="122" t="s">
        <v>24</v>
      </c>
      <c r="H32" s="137">
        <v>200</v>
      </c>
      <c r="I32" s="137">
        <v>210</v>
      </c>
      <c r="J32" s="119"/>
      <c r="K32" s="119"/>
      <c r="L32" s="60"/>
    </row>
    <row r="33" spans="7:12" ht="12.75">
      <c r="G33" s="122"/>
      <c r="H33" t="s">
        <v>137</v>
      </c>
      <c r="I33" t="s">
        <v>138</v>
      </c>
      <c r="L33" s="60"/>
    </row>
    <row r="34" ht="12.75">
      <c r="L34" s="60"/>
    </row>
    <row r="35" ht="12.75">
      <c r="L35" s="60"/>
    </row>
    <row r="36" spans="5:12" ht="12.75">
      <c r="E36" s="158"/>
      <c r="F36" s="153"/>
      <c r="G36" s="119"/>
      <c r="H36" s="119"/>
      <c r="I36" s="119"/>
      <c r="J36" s="119"/>
      <c r="K36" s="119"/>
      <c r="L36" s="60"/>
    </row>
    <row r="37" spans="5:12" ht="12.75">
      <c r="E37" s="158"/>
      <c r="F37" s="153"/>
      <c r="G37" s="119"/>
      <c r="H37" s="119"/>
      <c r="I37" s="119"/>
      <c r="J37" s="119"/>
      <c r="K37" s="119"/>
      <c r="L37" s="60"/>
    </row>
    <row r="38" spans="5:12" ht="12.75">
      <c r="E38" s="158"/>
      <c r="F38" s="153"/>
      <c r="G38" s="119"/>
      <c r="H38" s="119"/>
      <c r="I38" s="119"/>
      <c r="J38" s="119"/>
      <c r="K38" s="119"/>
      <c r="L38" s="60"/>
    </row>
    <row r="39" spans="5:12" ht="12.75">
      <c r="E39" s="158"/>
      <c r="F39" s="153"/>
      <c r="G39" s="119"/>
      <c r="H39" s="119"/>
      <c r="I39" s="119"/>
      <c r="J39" s="119"/>
      <c r="K39" s="119"/>
      <c r="L39" s="60"/>
    </row>
    <row r="40" spans="5:12" ht="12.75">
      <c r="E40" s="158"/>
      <c r="F40" s="153"/>
      <c r="G40" s="119"/>
      <c r="H40" s="119"/>
      <c r="I40" s="119"/>
      <c r="J40" s="119"/>
      <c r="K40" s="119"/>
      <c r="L40" s="60"/>
    </row>
    <row r="41" spans="5:12" ht="12.75">
      <c r="E41" s="158"/>
      <c r="F41" s="153"/>
      <c r="G41" s="119"/>
      <c r="H41" s="119"/>
      <c r="I41" s="119"/>
      <c r="J41" s="119"/>
      <c r="K41" s="119"/>
      <c r="L41" s="60"/>
    </row>
    <row r="42" ht="12.75">
      <c r="L42" s="60"/>
    </row>
  </sheetData>
  <mergeCells count="1">
    <mergeCell ref="B22:F22"/>
  </mergeCells>
  <printOptions/>
  <pageMargins left="0.75" right="0.75" top="1" bottom="1" header="0.5" footer="0.5"/>
  <pageSetup horizontalDpi="600" verticalDpi="600" orientation="portrait" paperSize="133" r:id="rId1"/>
</worksheet>
</file>

<file path=xl/worksheets/sheet20.xml><?xml version="1.0" encoding="utf-8"?>
<worksheet xmlns="http://schemas.openxmlformats.org/spreadsheetml/2006/main" xmlns:r="http://schemas.openxmlformats.org/officeDocument/2006/relationships">
  <dimension ref="B1:AQ42"/>
  <sheetViews>
    <sheetView workbookViewId="0" topLeftCell="A1">
      <selection activeCell="B3" sqref="B3:L23"/>
    </sheetView>
  </sheetViews>
  <sheetFormatPr defaultColWidth="9.140625" defaultRowHeight="12.75"/>
  <cols>
    <col min="3" max="3" width="28.7109375" style="0" bestFit="1" customWidth="1"/>
    <col min="14" max="14" width="34.140625" style="0" customWidth="1"/>
    <col min="16" max="16" width="33.57421875" style="0" customWidth="1"/>
  </cols>
  <sheetData>
    <row r="1" spans="2:15" ht="15.75">
      <c r="B1" s="107" t="s">
        <v>146</v>
      </c>
      <c r="O1" s="109" t="s">
        <v>125</v>
      </c>
    </row>
    <row r="2" spans="12:39" ht="13.5" thickBot="1">
      <c r="L2" s="60"/>
      <c r="N2" s="116" t="s">
        <v>84</v>
      </c>
      <c r="O2" s="110"/>
      <c r="P2" t="s">
        <v>84</v>
      </c>
      <c r="Q2" t="s">
        <v>51</v>
      </c>
      <c r="R2" t="s">
        <v>51</v>
      </c>
      <c r="S2" t="s">
        <v>51</v>
      </c>
      <c r="T2" t="s">
        <v>51</v>
      </c>
      <c r="U2" t="s">
        <v>51</v>
      </c>
      <c r="V2" t="s">
        <v>51</v>
      </c>
      <c r="W2" t="s">
        <v>51</v>
      </c>
      <c r="X2" t="s">
        <v>51</v>
      </c>
      <c r="Y2" t="s">
        <v>51</v>
      </c>
      <c r="Z2" t="s">
        <v>51</v>
      </c>
      <c r="AA2" t="s">
        <v>51</v>
      </c>
      <c r="AB2" t="s">
        <v>51</v>
      </c>
      <c r="AC2" t="s">
        <v>51</v>
      </c>
      <c r="AD2" t="s">
        <v>51</v>
      </c>
      <c r="AE2" t="s">
        <v>51</v>
      </c>
      <c r="AF2" t="s">
        <v>51</v>
      </c>
      <c r="AG2" t="s">
        <v>51</v>
      </c>
      <c r="AH2" t="s">
        <v>51</v>
      </c>
      <c r="AI2" t="s">
        <v>51</v>
      </c>
      <c r="AJ2" t="s">
        <v>51</v>
      </c>
      <c r="AK2" t="s">
        <v>51</v>
      </c>
      <c r="AL2" t="s">
        <v>51</v>
      </c>
      <c r="AM2" t="s">
        <v>51</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36833.555555555555</v>
      </c>
      <c r="R3" s="64">
        <v>36922.45138888889</v>
      </c>
      <c r="S3" s="64">
        <v>37013.45486111111</v>
      </c>
      <c r="T3" s="64">
        <v>37112.59375</v>
      </c>
      <c r="U3" s="64">
        <v>37222.635416666664</v>
      </c>
      <c r="V3" s="64">
        <v>37383.677083333336</v>
      </c>
      <c r="W3" s="64">
        <v>37474.63888888889</v>
      </c>
      <c r="X3" s="64">
        <v>37586.555555555555</v>
      </c>
      <c r="Y3" s="64">
        <v>37648.666666666664</v>
      </c>
      <c r="Z3" s="64">
        <v>37747.635416666664</v>
      </c>
      <c r="AA3" s="64">
        <v>37837.645833333336</v>
      </c>
      <c r="AB3" s="64">
        <v>37950.541666666664</v>
      </c>
      <c r="AC3" s="64">
        <v>38027.63888888889</v>
      </c>
      <c r="AD3" s="64">
        <v>38111.666666666664</v>
      </c>
      <c r="AE3" s="64">
        <v>38202.5875</v>
      </c>
      <c r="AF3" s="64">
        <v>38336.6875</v>
      </c>
      <c r="AG3" s="64">
        <v>38393.572916666664</v>
      </c>
      <c r="AH3" s="64">
        <v>38477.625</v>
      </c>
      <c r="AI3" s="64">
        <v>38593.62222222222</v>
      </c>
      <c r="AJ3" s="64">
        <v>38680.479166666664</v>
      </c>
      <c r="AK3" s="64">
        <v>38776.645833333336</v>
      </c>
      <c r="AL3" s="64">
        <v>38869.59027777778</v>
      </c>
      <c r="AM3" s="64">
        <v>38960.59305555555</v>
      </c>
      <c r="AO3" s="64"/>
      <c r="AP3" s="64"/>
      <c r="AQ3" s="64"/>
    </row>
    <row r="4" spans="2:39" ht="12.75">
      <c r="B4" s="68" t="s">
        <v>103</v>
      </c>
      <c r="C4" s="93" t="s">
        <v>4</v>
      </c>
      <c r="D4" s="81">
        <f>COUNT(Q4:EC4)</f>
        <v>20</v>
      </c>
      <c r="E4" s="82">
        <f>AVERAGE(Q4:EC4)</f>
        <v>0.12234999999999999</v>
      </c>
      <c r="F4" s="82">
        <f aca="true" t="shared" si="0" ref="F4:F15">CONFIDENCE(0.05,G4,D4)</f>
        <v>0.09964530053890576</v>
      </c>
      <c r="G4" s="82">
        <f>STDEV(Q4:EC4)</f>
        <v>0.22736506119593572</v>
      </c>
      <c r="H4" s="82">
        <f>QUARTILE(Q4:EC4,2)</f>
        <v>0.0125</v>
      </c>
      <c r="I4" s="82">
        <f>MIN(Q4:EC4)</f>
        <v>0.002</v>
      </c>
      <c r="J4" s="82">
        <f>MAX(Q4:EC4)</f>
        <v>0.87</v>
      </c>
      <c r="K4" s="82">
        <f>PERCENTILE(Q4:EC4,0.95)</f>
        <v>0.5755000000000002</v>
      </c>
      <c r="L4" s="102" t="str">
        <f>IF((H4+H5)&lt;0.08,"A",IF((H4+H5)&lt;0.12,"B",IF((H4+H5)&lt;0.295,"C",IF((H4+H5)&lt;0.444,"D","E"))))</f>
        <v>A</v>
      </c>
      <c r="N4" s="116" t="s">
        <v>86</v>
      </c>
      <c r="O4" s="108"/>
      <c r="P4" t="s">
        <v>86</v>
      </c>
      <c r="R4">
        <v>0.02</v>
      </c>
      <c r="S4">
        <v>0.02</v>
      </c>
      <c r="V4">
        <v>0.012</v>
      </c>
      <c r="W4">
        <v>0.1</v>
      </c>
      <c r="X4">
        <v>0.01</v>
      </c>
      <c r="Y4">
        <v>0.005</v>
      </c>
      <c r="Z4">
        <v>0.013</v>
      </c>
      <c r="AA4">
        <v>0.048</v>
      </c>
      <c r="AB4">
        <v>0.006</v>
      </c>
      <c r="AC4">
        <v>0.003</v>
      </c>
      <c r="AD4">
        <v>0.28</v>
      </c>
      <c r="AE4">
        <v>0.56</v>
      </c>
      <c r="AF4">
        <v>0.009</v>
      </c>
      <c r="AG4">
        <v>0.006</v>
      </c>
      <c r="AH4">
        <v>0.007</v>
      </c>
      <c r="AI4">
        <v>0.17</v>
      </c>
      <c r="AJ4">
        <v>0.006</v>
      </c>
      <c r="AK4">
        <v>0.002</v>
      </c>
      <c r="AL4">
        <v>0.87</v>
      </c>
      <c r="AM4">
        <v>0.3</v>
      </c>
    </row>
    <row r="5" spans="2:39" ht="12.75">
      <c r="B5" s="69"/>
      <c r="C5" s="5" t="s">
        <v>5</v>
      </c>
      <c r="D5" s="73">
        <f>COUNT(Q5:EC5)</f>
        <v>18</v>
      </c>
      <c r="E5" s="112">
        <f>AVERAGE(Q5:EC5)</f>
        <v>0.01683333333333334</v>
      </c>
      <c r="F5" s="112">
        <f t="shared" si="0"/>
        <v>0.0074037903074618255</v>
      </c>
      <c r="G5" s="112">
        <f>STDEV(Q5:EC5)</f>
        <v>0.016026632246871782</v>
      </c>
      <c r="H5" s="112">
        <f>QUARTILE(Q5:EC5,2)</f>
        <v>0.012</v>
      </c>
      <c r="I5" s="112">
        <f>MIN(Q5:EC5)</f>
        <v>0.005</v>
      </c>
      <c r="J5" s="112">
        <f>MAX(Q5:EC5)</f>
        <v>0.07</v>
      </c>
      <c r="K5" s="112">
        <f>PERCENTILE(Q5:EC5,0.95)</f>
        <v>0.04789999999999996</v>
      </c>
      <c r="L5" s="102"/>
      <c r="N5" s="116" t="s">
        <v>87</v>
      </c>
      <c r="O5" s="108"/>
      <c r="P5" t="s">
        <v>87</v>
      </c>
      <c r="V5">
        <v>0.011</v>
      </c>
      <c r="W5">
        <v>0.02</v>
      </c>
      <c r="X5">
        <v>0.044</v>
      </c>
      <c r="Y5">
        <v>0.015</v>
      </c>
      <c r="Z5">
        <v>0.006</v>
      </c>
      <c r="AA5">
        <v>0.008</v>
      </c>
      <c r="AB5">
        <v>0.014</v>
      </c>
      <c r="AC5">
        <v>0.018</v>
      </c>
      <c r="AD5">
        <v>0.008</v>
      </c>
      <c r="AE5">
        <v>0.01</v>
      </c>
      <c r="AF5">
        <v>0.07</v>
      </c>
      <c r="AG5">
        <v>0.007</v>
      </c>
      <c r="AH5">
        <v>0.017</v>
      </c>
      <c r="AI5">
        <v>0.008</v>
      </c>
      <c r="AJ5">
        <v>0.008</v>
      </c>
      <c r="AK5">
        <v>0.013</v>
      </c>
      <c r="AL5">
        <v>0.021</v>
      </c>
      <c r="AM5">
        <v>0.005</v>
      </c>
    </row>
    <row r="6" spans="2:39" ht="12.75">
      <c r="B6" s="70"/>
      <c r="C6" s="94" t="s">
        <v>6</v>
      </c>
      <c r="D6" s="73">
        <f>COUNT(Q6:EC6)</f>
        <v>23</v>
      </c>
      <c r="E6" s="112">
        <f>AVERAGE(Q6:EC6)</f>
        <v>0.01734782608695653</v>
      </c>
      <c r="F6" s="112">
        <f t="shared" si="0"/>
        <v>0.0029537513110872</v>
      </c>
      <c r="G6" s="112">
        <f>STDEV(Q6:EC6)</f>
        <v>0.007227527526768579</v>
      </c>
      <c r="H6" s="112">
        <f>QUARTILE(Q6:EC6,2)</f>
        <v>0.017</v>
      </c>
      <c r="I6" s="112">
        <f>MIN(Q6:EC6)</f>
        <v>0.008</v>
      </c>
      <c r="J6" s="112">
        <f>MAX(Q6:EC6)</f>
        <v>0.042</v>
      </c>
      <c r="K6" s="112">
        <f>PERCENTILE(Q6:EC6,0.95)</f>
        <v>0.027499999999999993</v>
      </c>
      <c r="L6" s="102" t="str">
        <f>IF((H6)&lt;0.005,"A",IF((H6)&lt;0.008,"B",IF((H6)&lt;0.026,"C",IF((H6)&lt;0.05,"D","E"))))</f>
        <v>C</v>
      </c>
      <c r="N6" s="116" t="s">
        <v>88</v>
      </c>
      <c r="O6" s="108"/>
      <c r="P6" t="s">
        <v>88</v>
      </c>
      <c r="Q6">
        <v>0.01</v>
      </c>
      <c r="R6">
        <v>0.028</v>
      </c>
      <c r="S6">
        <v>0.017</v>
      </c>
      <c r="T6">
        <v>0.018</v>
      </c>
      <c r="U6">
        <v>0.015</v>
      </c>
      <c r="V6">
        <v>0.02</v>
      </c>
      <c r="W6">
        <v>0.01</v>
      </c>
      <c r="X6">
        <v>0.008</v>
      </c>
      <c r="Y6">
        <v>0.018</v>
      </c>
      <c r="Z6">
        <v>0.012</v>
      </c>
      <c r="AA6">
        <v>0.011</v>
      </c>
      <c r="AB6">
        <v>0.017</v>
      </c>
      <c r="AC6">
        <v>0.013</v>
      </c>
      <c r="AD6">
        <v>0.017</v>
      </c>
      <c r="AE6">
        <v>0.012</v>
      </c>
      <c r="AF6">
        <v>0.014</v>
      </c>
      <c r="AG6">
        <v>0.023</v>
      </c>
      <c r="AH6">
        <v>0.019</v>
      </c>
      <c r="AI6">
        <v>0.021</v>
      </c>
      <c r="AJ6">
        <v>0.042</v>
      </c>
      <c r="AK6">
        <v>0.022</v>
      </c>
      <c r="AL6">
        <v>0.019</v>
      </c>
      <c r="AM6">
        <v>0.013</v>
      </c>
    </row>
    <row r="7" spans="2:39" ht="12.75">
      <c r="B7" s="71" t="s">
        <v>104</v>
      </c>
      <c r="C7" s="6" t="s">
        <v>7</v>
      </c>
      <c r="D7" s="86">
        <f>COUNT(Q7:EC7)</f>
        <v>23</v>
      </c>
      <c r="E7" s="113">
        <f>AVERAGE(Q7:EC7)</f>
        <v>7.662608695652175</v>
      </c>
      <c r="F7" s="113">
        <f t="shared" si="0"/>
        <v>0.09402255291181727</v>
      </c>
      <c r="G7" s="113">
        <f>STDEV(Q7:EC7)</f>
        <v>0.2300635760216013</v>
      </c>
      <c r="H7" s="113">
        <f>QUARTILE(Q7:EC7,2)</f>
        <v>7.68</v>
      </c>
      <c r="I7" s="113">
        <f>MIN(Q7:EC7)</f>
        <v>7.14</v>
      </c>
      <c r="J7" s="113">
        <f>MAX(Q7:EC7)</f>
        <v>8.08</v>
      </c>
      <c r="K7" s="113">
        <f>PERCENTILE(Q7:EC7,0.95)</f>
        <v>8.01</v>
      </c>
      <c r="L7" s="103" t="str">
        <f>IF(AND(7.2&lt;H7,H7&lt;9),"A",IF(AND(7.2&lt;=H7,H7&lt;=9),"B",IF(AND(6.5&lt;=H7,H7&lt;=9),"C",IF(AND(6.5&lt;=H7,H7&lt;=10),"D","E"))))</f>
        <v>A</v>
      </c>
      <c r="N7" s="116" t="s">
        <v>89</v>
      </c>
      <c r="O7" s="108"/>
      <c r="P7" t="s">
        <v>89</v>
      </c>
      <c r="Q7">
        <v>8.02</v>
      </c>
      <c r="R7">
        <v>7.79</v>
      </c>
      <c r="S7">
        <v>7.73</v>
      </c>
      <c r="T7">
        <v>7.43</v>
      </c>
      <c r="U7">
        <v>7.68</v>
      </c>
      <c r="V7">
        <v>7.52</v>
      </c>
      <c r="W7">
        <v>7.74</v>
      </c>
      <c r="X7">
        <v>7.6</v>
      </c>
      <c r="Y7">
        <v>7.8</v>
      </c>
      <c r="Z7">
        <v>7.75</v>
      </c>
      <c r="AA7">
        <v>7.62</v>
      </c>
      <c r="AB7">
        <v>8.08</v>
      </c>
      <c r="AC7">
        <v>7.84</v>
      </c>
      <c r="AD7">
        <v>7.22</v>
      </c>
      <c r="AE7">
        <v>7.4</v>
      </c>
      <c r="AF7">
        <v>7.92</v>
      </c>
      <c r="AG7">
        <v>7.9</v>
      </c>
      <c r="AH7">
        <v>7.59</v>
      </c>
      <c r="AI7">
        <v>7.6</v>
      </c>
      <c r="AJ7">
        <v>7.14</v>
      </c>
      <c r="AK7">
        <v>7.53</v>
      </c>
      <c r="AL7">
        <v>7.6</v>
      </c>
      <c r="AM7">
        <v>7.74</v>
      </c>
    </row>
    <row r="8" spans="2:39" ht="12.75">
      <c r="B8" s="71"/>
      <c r="C8" s="6" t="s">
        <v>8</v>
      </c>
      <c r="D8" s="81">
        <f>COUNT(Q8:EC8)</f>
        <v>23</v>
      </c>
      <c r="E8" s="44">
        <f>AVERAGE(Q8:EC8)</f>
        <v>15.082608695652173</v>
      </c>
      <c r="F8" s="44">
        <f t="shared" si="0"/>
        <v>1.654595129985238</v>
      </c>
      <c r="G8" s="44">
        <f>STDEV(Q8:EC8)</f>
        <v>4.0486251509183</v>
      </c>
      <c r="H8" s="44">
        <f>QUARTILE(Q8:EC8,2)</f>
        <v>14.07</v>
      </c>
      <c r="I8" s="44">
        <f>MIN(Q8:EC8)</f>
        <v>9</v>
      </c>
      <c r="J8" s="44">
        <f>MAX(Q8:EC8)</f>
        <v>22.4</v>
      </c>
      <c r="K8" s="44">
        <f>PERCENTILE(Q8:EC8,0.95)</f>
        <v>21.95</v>
      </c>
      <c r="L8" s="102" t="str">
        <f>IF(H8&lt;18,"A",IF(H8&lt;20,"B",IF(H8&lt;22,"C",IF(H8&lt;25,"D","E"))))</f>
        <v>A</v>
      </c>
      <c r="N8" s="116" t="s">
        <v>90</v>
      </c>
      <c r="O8" s="108"/>
      <c r="P8" t="s">
        <v>90</v>
      </c>
      <c r="Q8">
        <v>18.8</v>
      </c>
      <c r="R8">
        <v>19.2</v>
      </c>
      <c r="S8">
        <v>12.2</v>
      </c>
      <c r="T8">
        <v>12.1</v>
      </c>
      <c r="U8">
        <v>15.3</v>
      </c>
      <c r="V8">
        <v>14.24</v>
      </c>
      <c r="W8">
        <v>11.5</v>
      </c>
      <c r="X8">
        <v>22.4</v>
      </c>
      <c r="Y8">
        <v>18.7</v>
      </c>
      <c r="Z8">
        <v>11.1</v>
      </c>
      <c r="AA8">
        <v>11.4</v>
      </c>
      <c r="AB8">
        <v>17</v>
      </c>
      <c r="AC8">
        <v>21.5</v>
      </c>
      <c r="AD8">
        <v>12.5</v>
      </c>
      <c r="AE8">
        <v>9</v>
      </c>
      <c r="AF8">
        <v>18.7</v>
      </c>
      <c r="AG8">
        <v>22</v>
      </c>
      <c r="AH8">
        <v>12.9</v>
      </c>
      <c r="AI8">
        <v>11.85</v>
      </c>
      <c r="AJ8">
        <v>14.07</v>
      </c>
      <c r="AK8">
        <v>17.88</v>
      </c>
      <c r="AL8">
        <v>10.76</v>
      </c>
      <c r="AM8">
        <v>11.8</v>
      </c>
    </row>
    <row r="9" spans="2:39" ht="12.75">
      <c r="B9" s="71"/>
      <c r="C9" s="7" t="s">
        <v>9</v>
      </c>
      <c r="D9" s="81">
        <f>COUNT(Q9:EC9)</f>
        <v>23</v>
      </c>
      <c r="E9" s="44">
        <f>AVERAGE(Q9:EC9)</f>
        <v>104.9217391304348</v>
      </c>
      <c r="F9" s="44">
        <f t="shared" si="0"/>
        <v>6.309994517548228</v>
      </c>
      <c r="G9" s="44">
        <f>STDEV(Q9:EC9)</f>
        <v>15.439911578931257</v>
      </c>
      <c r="H9" s="44">
        <f>QUARTILE(Q9:EC9,2)</f>
        <v>105.2</v>
      </c>
      <c r="I9" s="44">
        <f>MIN(Q9:EC9)</f>
        <v>71.5</v>
      </c>
      <c r="J9" s="44">
        <f>MAX(Q9:EC9)</f>
        <v>128.4</v>
      </c>
      <c r="K9" s="44">
        <f>PERCENTILE(Q9:EC9,0.95)</f>
        <v>124.52</v>
      </c>
      <c r="L9" s="104" t="str">
        <f>IF(AND(99&lt;=H9,H9&lt;=103),"A",IF(AND(98&lt;=H9,H9&lt;=105),"B",IF(H9&gt;90,"C",IF(H9&gt;80,"D","E"))))</f>
        <v>C</v>
      </c>
      <c r="N9" s="116" t="s">
        <v>91</v>
      </c>
      <c r="O9" s="108"/>
      <c r="P9" t="s">
        <v>91</v>
      </c>
      <c r="Q9">
        <v>108.6</v>
      </c>
      <c r="R9">
        <v>78.9</v>
      </c>
      <c r="S9">
        <v>71.5</v>
      </c>
      <c r="T9">
        <v>98.2</v>
      </c>
      <c r="U9">
        <v>96</v>
      </c>
      <c r="V9">
        <v>100.5</v>
      </c>
      <c r="W9">
        <v>124.6</v>
      </c>
      <c r="X9">
        <v>123.7</v>
      </c>
      <c r="Y9">
        <v>104.6</v>
      </c>
      <c r="Z9">
        <v>118</v>
      </c>
      <c r="AA9">
        <v>122.5</v>
      </c>
      <c r="AB9">
        <v>107.9</v>
      </c>
      <c r="AC9">
        <v>123.8</v>
      </c>
      <c r="AD9">
        <v>93.7</v>
      </c>
      <c r="AE9">
        <v>95.2</v>
      </c>
      <c r="AF9">
        <v>128.4</v>
      </c>
      <c r="AG9">
        <v>109.1</v>
      </c>
      <c r="AH9">
        <v>104</v>
      </c>
      <c r="AI9">
        <v>105.2</v>
      </c>
      <c r="AJ9">
        <v>81.6</v>
      </c>
      <c r="AK9">
        <v>115.1</v>
      </c>
      <c r="AL9">
        <v>90.1</v>
      </c>
      <c r="AM9">
        <v>112</v>
      </c>
    </row>
    <row r="10" spans="2:39" ht="12.75">
      <c r="B10" s="71"/>
      <c r="C10" s="6" t="s">
        <v>10</v>
      </c>
      <c r="D10" s="81">
        <f>COUNT(Q10:EC10)</f>
        <v>23</v>
      </c>
      <c r="E10" s="44">
        <f>AVERAGE(Q10:EC10)</f>
        <v>10.567391304347828</v>
      </c>
      <c r="F10" s="44">
        <f t="shared" si="0"/>
        <v>0.6628022538886075</v>
      </c>
      <c r="G10" s="44">
        <f>STDEV(Q10:EC10)</f>
        <v>1.6218093638427997</v>
      </c>
      <c r="H10" s="44">
        <f>QUARTILE(Q10:EC10,2)</f>
        <v>10.56</v>
      </c>
      <c r="I10" s="44">
        <f>MIN(Q10:EC10)</f>
        <v>6.97</v>
      </c>
      <c r="J10" s="44">
        <f>MAX(Q10:EC10)</f>
        <v>13.59</v>
      </c>
      <c r="K10" s="44">
        <f>PERCENTILE(Q10:EC10,0.95)</f>
        <v>13.332</v>
      </c>
      <c r="L10" s="102"/>
      <c r="N10" s="116" t="s">
        <v>92</v>
      </c>
      <c r="O10" s="108"/>
      <c r="P10" t="s">
        <v>92</v>
      </c>
      <c r="Q10">
        <v>10.09</v>
      </c>
      <c r="R10">
        <v>6.97</v>
      </c>
      <c r="S10">
        <v>7.7</v>
      </c>
      <c r="T10">
        <v>10.56</v>
      </c>
      <c r="U10">
        <v>9.57</v>
      </c>
      <c r="V10">
        <v>10.3</v>
      </c>
      <c r="W10">
        <v>13.59</v>
      </c>
      <c r="X10">
        <v>10.76</v>
      </c>
      <c r="Y10">
        <v>9.77</v>
      </c>
      <c r="Z10">
        <v>12.9</v>
      </c>
      <c r="AA10">
        <v>13.38</v>
      </c>
      <c r="AB10">
        <v>10.4</v>
      </c>
      <c r="AC10">
        <v>10.85</v>
      </c>
      <c r="AD10">
        <v>9.97</v>
      </c>
      <c r="AE10">
        <v>11.01</v>
      </c>
      <c r="AF10">
        <v>11.99</v>
      </c>
      <c r="AG10">
        <v>9.53</v>
      </c>
      <c r="AH10">
        <v>10.99</v>
      </c>
      <c r="AI10">
        <v>11.37</v>
      </c>
      <c r="AJ10">
        <v>8.37</v>
      </c>
      <c r="AK10">
        <v>10.87</v>
      </c>
      <c r="AL10">
        <v>9.99</v>
      </c>
      <c r="AM10">
        <v>12.12</v>
      </c>
    </row>
    <row r="11" spans="2:39" ht="12.75">
      <c r="B11" s="72"/>
      <c r="C11" s="95" t="s">
        <v>11</v>
      </c>
      <c r="D11" s="87">
        <f>COUNT(Q11:EC11)</f>
        <v>23</v>
      </c>
      <c r="E11" s="115">
        <f>AVERAGE(Q11:EC11)</f>
        <v>264.9347826086956</v>
      </c>
      <c r="F11" s="115">
        <f t="shared" si="0"/>
        <v>18.676005076497418</v>
      </c>
      <c r="G11" s="115">
        <f>STDEV(Q11:EC11)</f>
        <v>45.6982753672555</v>
      </c>
      <c r="H11" s="115">
        <f>QUARTILE(Q11:EC11,2)</f>
        <v>256</v>
      </c>
      <c r="I11" s="115">
        <f>MIN(Q11:EC11)</f>
        <v>187</v>
      </c>
      <c r="J11" s="115">
        <f>MAX(Q11:EC11)</f>
        <v>413</v>
      </c>
      <c r="K11" s="115">
        <f>PERCENTILE(Q11:EC11,0.95)</f>
        <v>323.09999999999997</v>
      </c>
      <c r="L11" s="105"/>
      <c r="N11" s="116" t="s">
        <v>93</v>
      </c>
      <c r="O11" s="108"/>
      <c r="P11" t="s">
        <v>93</v>
      </c>
      <c r="Q11">
        <v>256</v>
      </c>
      <c r="R11">
        <v>297.6</v>
      </c>
      <c r="S11">
        <v>285.6</v>
      </c>
      <c r="T11">
        <v>237.3</v>
      </c>
      <c r="U11">
        <v>211</v>
      </c>
      <c r="V11">
        <v>260</v>
      </c>
      <c r="W11">
        <v>237</v>
      </c>
      <c r="X11">
        <v>257</v>
      </c>
      <c r="Y11">
        <v>281</v>
      </c>
      <c r="Z11">
        <v>251</v>
      </c>
      <c r="AA11">
        <v>315</v>
      </c>
      <c r="AB11">
        <v>246</v>
      </c>
      <c r="AC11">
        <v>240</v>
      </c>
      <c r="AD11">
        <v>187</v>
      </c>
      <c r="AE11">
        <v>216</v>
      </c>
      <c r="AF11">
        <v>250</v>
      </c>
      <c r="AG11">
        <v>274</v>
      </c>
      <c r="AH11">
        <v>267</v>
      </c>
      <c r="AI11">
        <v>413</v>
      </c>
      <c r="AJ11">
        <v>296</v>
      </c>
      <c r="AK11">
        <v>324</v>
      </c>
      <c r="AL11">
        <v>249</v>
      </c>
      <c r="AM11">
        <v>243</v>
      </c>
    </row>
    <row r="12" spans="2:39" ht="12.75">
      <c r="B12" s="68" t="s">
        <v>105</v>
      </c>
      <c r="C12" s="4" t="s">
        <v>12</v>
      </c>
      <c r="D12" s="81">
        <f>COUNT(Q12:EC12)</f>
        <v>23</v>
      </c>
      <c r="E12" s="82">
        <f>AVERAGE(Q12:EC12)</f>
        <v>3.2326086956521736</v>
      </c>
      <c r="F12" s="82">
        <f t="shared" si="0"/>
        <v>0.9594809320218625</v>
      </c>
      <c r="G12" s="82">
        <f>STDEV(Q12:EC12)</f>
        <v>2.347751762840558</v>
      </c>
      <c r="H12" s="82">
        <f>QUARTILE(Q12:EC12,2)</f>
        <v>2.47</v>
      </c>
      <c r="I12" s="82">
        <f>MIN(Q12:EC12)</f>
        <v>1.03</v>
      </c>
      <c r="J12" s="82">
        <f>MAX(Q12:EC12)</f>
        <v>10.7</v>
      </c>
      <c r="K12" s="82">
        <f>PERCENTILE(Q12:EC12,0.95)</f>
        <v>7.6949999999999985</v>
      </c>
      <c r="L12" s="102" t="str">
        <f>IF(H12&lt;1,"A",IF(H12&lt;2,"B",IF(H12&lt;3,"C",IF(H12&lt;5,"D","E"))))</f>
        <v>C</v>
      </c>
      <c r="N12" s="116" t="s">
        <v>94</v>
      </c>
      <c r="O12" s="108"/>
      <c r="P12" t="s">
        <v>94</v>
      </c>
      <c r="Q12">
        <v>2.37</v>
      </c>
      <c r="R12">
        <v>7.76</v>
      </c>
      <c r="S12">
        <v>1.86</v>
      </c>
      <c r="T12">
        <v>1.57</v>
      </c>
      <c r="U12">
        <v>7.11</v>
      </c>
      <c r="V12">
        <v>2.71</v>
      </c>
      <c r="W12">
        <v>2.75</v>
      </c>
      <c r="X12">
        <v>3.83</v>
      </c>
      <c r="Y12">
        <v>3.83</v>
      </c>
      <c r="Z12">
        <v>1.03</v>
      </c>
      <c r="AA12">
        <v>1.92</v>
      </c>
      <c r="AB12">
        <v>4.08</v>
      </c>
      <c r="AC12">
        <v>1.7</v>
      </c>
      <c r="AD12">
        <v>10.7</v>
      </c>
      <c r="AE12">
        <v>2.86</v>
      </c>
      <c r="AF12">
        <v>2.39</v>
      </c>
      <c r="AG12">
        <v>1.25</v>
      </c>
      <c r="AH12">
        <v>1.4</v>
      </c>
      <c r="AI12">
        <v>2.15</v>
      </c>
      <c r="AJ12">
        <v>2.61</v>
      </c>
      <c r="AK12">
        <v>1.71</v>
      </c>
      <c r="AL12">
        <v>4.29</v>
      </c>
      <c r="AM12">
        <v>2.47</v>
      </c>
    </row>
    <row r="13" spans="2:39" ht="12.75">
      <c r="B13" s="71"/>
      <c r="C13" s="6" t="s">
        <v>13</v>
      </c>
      <c r="D13" s="81">
        <f>COUNT(Q13:EC13)</f>
        <v>22</v>
      </c>
      <c r="E13" s="44">
        <f>AVERAGE(Q13:EC13)</f>
        <v>2.0945454545454543</v>
      </c>
      <c r="F13" s="44">
        <f t="shared" si="0"/>
        <v>0.4080473909815333</v>
      </c>
      <c r="G13" s="44">
        <f>STDEV(Q13:EC13)</f>
        <v>0.9765036135925506</v>
      </c>
      <c r="H13" s="44">
        <f>QUARTILE(Q13:EC13,2)</f>
        <v>1.95</v>
      </c>
      <c r="I13" s="44">
        <f>MIN(Q13:EC13)</f>
        <v>0.8</v>
      </c>
      <c r="J13" s="44">
        <f>MAX(Q13:EC13)</f>
        <v>5.7</v>
      </c>
      <c r="K13" s="44">
        <f>PERCENTILE(Q13:EC13,0.95)</f>
        <v>2.9899999999999998</v>
      </c>
      <c r="L13" s="102" t="str">
        <f>IF(H13&gt;6,"A",IF(H13&gt;4,"B",IF(H13&gt;2.5,"C",IF(H13&gt;0.6,"D","E"))))</f>
        <v>D</v>
      </c>
      <c r="N13" s="116" t="s">
        <v>13</v>
      </c>
      <c r="O13" s="108"/>
      <c r="P13" t="s">
        <v>13</v>
      </c>
      <c r="Q13">
        <v>2</v>
      </c>
      <c r="R13">
        <v>1.6</v>
      </c>
      <c r="S13">
        <v>2.8</v>
      </c>
      <c r="T13">
        <v>0.8</v>
      </c>
      <c r="U13">
        <v>1.45</v>
      </c>
      <c r="V13">
        <v>2.33</v>
      </c>
      <c r="W13">
        <v>2.4</v>
      </c>
      <c r="X13">
        <v>1.6</v>
      </c>
      <c r="Y13">
        <v>1.2</v>
      </c>
      <c r="Z13">
        <v>5.7</v>
      </c>
      <c r="AA13">
        <v>3</v>
      </c>
      <c r="AB13">
        <v>1.5</v>
      </c>
      <c r="AC13">
        <v>2.6</v>
      </c>
      <c r="AD13">
        <v>1</v>
      </c>
      <c r="AE13">
        <v>1.9</v>
      </c>
      <c r="AF13">
        <v>2</v>
      </c>
      <c r="AG13">
        <v>2.2</v>
      </c>
      <c r="AH13">
        <v>2.4</v>
      </c>
      <c r="AI13">
        <v>1.8</v>
      </c>
      <c r="AJ13">
        <v>1.8</v>
      </c>
      <c r="AL13">
        <v>1.9</v>
      </c>
      <c r="AM13">
        <v>2.1</v>
      </c>
    </row>
    <row r="14" spans="2:39" ht="12.75">
      <c r="B14" s="72"/>
      <c r="C14" s="95" t="s">
        <v>14</v>
      </c>
      <c r="D14" s="87">
        <f>COUNT(Q14:EC14)</f>
        <v>23</v>
      </c>
      <c r="E14" s="115">
        <f>AVERAGE(Q14:EC14)</f>
        <v>3.7913043478260877</v>
      </c>
      <c r="F14" s="115">
        <f t="shared" si="0"/>
        <v>2.009684758778513</v>
      </c>
      <c r="G14" s="115">
        <f>STDEV(Q14:EC14)</f>
        <v>4.9174931754334725</v>
      </c>
      <c r="H14" s="115">
        <f>QUARTILE(Q14:EC14,2)</f>
        <v>2</v>
      </c>
      <c r="I14" s="115">
        <f>MIN(Q14:EC14)</f>
        <v>0.7</v>
      </c>
      <c r="J14" s="115">
        <f>MAX(Q14:EC14)</f>
        <v>23</v>
      </c>
      <c r="K14" s="115">
        <f>PERCENTILE(Q14:EC14,0.95)</f>
        <v>10.599999999999994</v>
      </c>
      <c r="L14" s="102"/>
      <c r="N14" s="116" t="s">
        <v>95</v>
      </c>
      <c r="O14" s="108"/>
      <c r="P14" t="s">
        <v>95</v>
      </c>
      <c r="Q14">
        <v>3</v>
      </c>
      <c r="R14">
        <v>6</v>
      </c>
      <c r="S14">
        <v>6</v>
      </c>
      <c r="T14">
        <v>7</v>
      </c>
      <c r="U14">
        <v>3</v>
      </c>
      <c r="V14">
        <v>5</v>
      </c>
      <c r="W14">
        <v>1</v>
      </c>
      <c r="X14">
        <v>23</v>
      </c>
      <c r="Y14">
        <v>11</v>
      </c>
      <c r="Z14">
        <v>0.7</v>
      </c>
      <c r="AA14">
        <v>0.9</v>
      </c>
      <c r="AB14">
        <v>2</v>
      </c>
      <c r="AC14">
        <v>1</v>
      </c>
      <c r="AD14">
        <v>4</v>
      </c>
      <c r="AE14">
        <v>2</v>
      </c>
      <c r="AF14">
        <v>2</v>
      </c>
      <c r="AG14">
        <v>0.7</v>
      </c>
      <c r="AH14">
        <v>2</v>
      </c>
      <c r="AI14">
        <v>1</v>
      </c>
      <c r="AJ14">
        <v>0.9</v>
      </c>
      <c r="AK14">
        <v>1</v>
      </c>
      <c r="AL14">
        <v>3</v>
      </c>
      <c r="AM14">
        <v>1</v>
      </c>
    </row>
    <row r="15" spans="2:39" ht="12.75">
      <c r="B15" s="208" t="s">
        <v>267</v>
      </c>
      <c r="C15" s="8" t="s">
        <v>268</v>
      </c>
      <c r="D15" s="81">
        <f>COUNT(Q15:EC15)</f>
        <v>23</v>
      </c>
      <c r="E15" s="40">
        <f>AVERAGE(Q15:EC15)</f>
        <v>898.695652173913</v>
      </c>
      <c r="F15" s="40">
        <f t="shared" si="0"/>
        <v>845.6440708070757</v>
      </c>
      <c r="G15" s="40">
        <f>STDEV(Q15:EC15)</f>
        <v>2069.2045998134954</v>
      </c>
      <c r="H15" s="40">
        <f>QUARTILE(Q15:EC15,2)</f>
        <v>220</v>
      </c>
      <c r="I15" s="40">
        <f>MIN(Q15:EC15)</f>
        <v>5</v>
      </c>
      <c r="J15" s="40">
        <f>MAX(Q15:EC15)</f>
        <v>7600</v>
      </c>
      <c r="K15" s="40">
        <f>PERCENTILE(Q15:EC15,0.95)</f>
        <v>6599.999999999992</v>
      </c>
      <c r="L15" s="106" t="str">
        <f>IF(H15&lt;10,"A",IF(H15&lt;130,"B",IF(H15&lt;260,"C",IF(H15&lt;550,"D","E"))))</f>
        <v>C</v>
      </c>
      <c r="N15" s="116" t="s">
        <v>255</v>
      </c>
      <c r="O15" s="108"/>
      <c r="P15" t="s">
        <v>255</v>
      </c>
      <c r="Q15">
        <v>7200</v>
      </c>
      <c r="R15">
        <v>340</v>
      </c>
      <c r="S15">
        <v>65</v>
      </c>
      <c r="T15">
        <v>130</v>
      </c>
      <c r="U15">
        <v>340</v>
      </c>
      <c r="V15">
        <v>160</v>
      </c>
      <c r="W15">
        <v>67</v>
      </c>
      <c r="X15">
        <v>240</v>
      </c>
      <c r="Y15">
        <v>375</v>
      </c>
      <c r="Z15">
        <v>75</v>
      </c>
      <c r="AA15">
        <v>5</v>
      </c>
      <c r="AB15">
        <v>700</v>
      </c>
      <c r="AC15">
        <v>205</v>
      </c>
      <c r="AD15">
        <v>1200</v>
      </c>
      <c r="AE15">
        <v>145</v>
      </c>
      <c r="AF15">
        <v>400</v>
      </c>
      <c r="AG15">
        <v>600</v>
      </c>
      <c r="AH15">
        <v>38</v>
      </c>
      <c r="AI15">
        <v>125</v>
      </c>
      <c r="AJ15">
        <v>7600</v>
      </c>
      <c r="AK15">
        <v>150</v>
      </c>
      <c r="AL15">
        <v>290</v>
      </c>
      <c r="AM15">
        <v>220</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84.10600000000001</v>
      </c>
      <c r="F17" s="44">
        <f>CONFIDENCE(0.05,G17,D17)</f>
        <v>10.839770842682585</v>
      </c>
      <c r="G17" s="44">
        <f>STDEV(Q17:EC17)</f>
        <v>13.5471405100855</v>
      </c>
      <c r="H17" s="44">
        <f>QUARTILE(Q17:EC17,2)</f>
        <v>82.5</v>
      </c>
      <c r="I17" s="44">
        <f>MIN(Q17:EC17)</f>
        <v>63.636</v>
      </c>
      <c r="J17" s="44">
        <f>MAX(Q17:EC17)</f>
        <v>101</v>
      </c>
      <c r="K17" s="44">
        <f>PERCENTILE(Q17:EC17,0.95)</f>
        <v>100</v>
      </c>
      <c r="L17" s="102" t="str">
        <f>IF(H17&gt;120,"A",IF(H17&gt;100,"B",IF(H17&gt;80,"C",IF(H17&gt;60,"D","E"))))</f>
        <v>C</v>
      </c>
      <c r="N17" s="116" t="s">
        <v>17</v>
      </c>
      <c r="O17" s="108"/>
      <c r="P17" t="s">
        <v>17</v>
      </c>
      <c r="Q17">
        <v>84</v>
      </c>
      <c r="U17">
        <v>101</v>
      </c>
      <c r="X17">
        <v>78</v>
      </c>
      <c r="AB17">
        <v>81</v>
      </c>
      <c r="AF17">
        <v>97</v>
      </c>
      <c r="AJ17">
        <v>63.636</v>
      </c>
    </row>
    <row r="18" spans="2:36" ht="12.75">
      <c r="B18" s="74"/>
      <c r="C18" s="96" t="s">
        <v>18</v>
      </c>
      <c r="D18" s="81">
        <f>COUNT(Q18:EC18)</f>
        <v>6</v>
      </c>
      <c r="E18" s="44">
        <f>AVERAGE(Q18:EC18)</f>
        <v>3.6649999999999996</v>
      </c>
      <c r="F18" s="44">
        <f>CONFIDENCE(0.05,G18,D18)</f>
        <v>0.7166029672831568</v>
      </c>
      <c r="G18" s="44">
        <f>STDEV(Q18:EC18)</f>
        <v>0.8955836086039111</v>
      </c>
      <c r="H18" s="44">
        <f>QUARTILE(Q18:EC18,2)</f>
        <v>3.84</v>
      </c>
      <c r="I18" s="44">
        <f>MIN(Q18:EC18)</f>
        <v>2.34</v>
      </c>
      <c r="J18" s="44">
        <f>MAX(Q18:EC18)</f>
        <v>4.56</v>
      </c>
      <c r="K18" s="44">
        <f>PERCENTILE(Q18:EC18,0.95)</f>
        <v>4.5424999999999995</v>
      </c>
      <c r="L18" s="105" t="str">
        <f>IF(H18&gt;6,"A",IF(H18&gt;5,"B",IF(H18&gt;4,"C",IF(H18&gt;3,"D","E"))))</f>
        <v>D</v>
      </c>
      <c r="N18" s="116" t="s">
        <v>18</v>
      </c>
      <c r="O18" s="108"/>
      <c r="P18" t="s">
        <v>18</v>
      </c>
      <c r="Q18">
        <v>2.34</v>
      </c>
      <c r="U18">
        <v>4.12</v>
      </c>
      <c r="X18">
        <v>2.92</v>
      </c>
      <c r="AB18">
        <v>4.56</v>
      </c>
      <c r="AF18">
        <v>4.49</v>
      </c>
      <c r="AJ18">
        <v>3.56</v>
      </c>
    </row>
    <row r="19" spans="2:36" ht="12.75">
      <c r="B19" s="71" t="s">
        <v>106</v>
      </c>
      <c r="C19" s="7" t="s">
        <v>19</v>
      </c>
      <c r="D19" s="86">
        <f>COUNT(Q19:EC19)</f>
        <v>5</v>
      </c>
      <c r="E19" s="113">
        <f>AVERAGE(Q19:EC19)</f>
        <v>3.5843999999999996</v>
      </c>
      <c r="F19" s="113">
        <f>CONFIDENCE(0.05,G19,D19)</f>
        <v>3.316325876016593</v>
      </c>
      <c r="G19" s="113">
        <f>STDEV(Q19:EC19)</f>
        <v>3.7835032443490784</v>
      </c>
      <c r="H19" s="113">
        <f>QUARTILE(Q19:EC19,2)</f>
        <v>1.97</v>
      </c>
      <c r="I19" s="113">
        <f>MIN(Q19:EC19)</f>
        <v>1</v>
      </c>
      <c r="J19" s="113">
        <f>MAX(Q19:EC19)</f>
        <v>10</v>
      </c>
      <c r="K19" s="113">
        <f>PERCENTILE(Q19:EC19,0.95)</f>
        <v>8.790399999999998</v>
      </c>
      <c r="L19" s="102" t="str">
        <f>IF(H19&gt;8,"A",IF(H19&gt;6,"B",IF(H19&gt;4,"C",IF(H19&gt;2,"D","E"))))</f>
        <v>E</v>
      </c>
      <c r="N19" s="116" t="s">
        <v>96</v>
      </c>
      <c r="O19" s="108"/>
      <c r="P19" t="s">
        <v>96</v>
      </c>
      <c r="R19">
        <v>1</v>
      </c>
      <c r="S19">
        <v>1.97</v>
      </c>
      <c r="X19">
        <v>1</v>
      </c>
      <c r="AF19">
        <v>10</v>
      </c>
      <c r="AJ19">
        <v>3.952</v>
      </c>
    </row>
    <row r="20" spans="2:36" ht="13.5" thickBot="1">
      <c r="B20" s="72"/>
      <c r="C20" s="97" t="s">
        <v>122</v>
      </c>
      <c r="D20" s="87">
        <f>COUNT(Q20:EC20)</f>
        <v>3</v>
      </c>
      <c r="E20" s="114">
        <f>AVERAGE(Q20:EC20)</f>
        <v>8.25</v>
      </c>
      <c r="F20" s="114">
        <f>CONFIDENCE(0.05,G20,D20)</f>
        <v>9.480196745100967</v>
      </c>
      <c r="G20" s="114">
        <f>STDEV(Q20:EC20)</f>
        <v>8.37779804005802</v>
      </c>
      <c r="H20" s="114">
        <f>QUARTILE(Q20:EC20,2)</f>
        <v>8</v>
      </c>
      <c r="I20" s="114">
        <f>MIN(Q20:EC20)</f>
        <v>0</v>
      </c>
      <c r="J20" s="114">
        <f>MAX(Q20:EC20)</f>
        <v>16.75</v>
      </c>
      <c r="K20" s="114">
        <f>PERCENTILE(Q20:EC20,0.95)</f>
        <v>15.875</v>
      </c>
      <c r="L20" s="105"/>
      <c r="N20" s="116" t="s">
        <v>97</v>
      </c>
      <c r="O20" s="108"/>
      <c r="P20" t="s">
        <v>97</v>
      </c>
      <c r="X20">
        <v>8</v>
      </c>
      <c r="AF20">
        <v>0</v>
      </c>
      <c r="AJ20">
        <v>16.75</v>
      </c>
    </row>
    <row r="21" spans="2:15" ht="12.75">
      <c r="B21" s="80"/>
      <c r="C21" s="89"/>
      <c r="D21" s="89"/>
      <c r="E21" s="89"/>
      <c r="F21" s="89"/>
      <c r="G21" s="89"/>
      <c r="H21" s="89"/>
      <c r="I21" s="89"/>
      <c r="J21" s="89"/>
      <c r="K21" s="89"/>
      <c r="L21" s="100"/>
      <c r="O21" s="108"/>
    </row>
    <row r="22" spans="2:15" ht="12.75">
      <c r="B22" s="210" t="s">
        <v>119</v>
      </c>
      <c r="C22" s="211"/>
      <c r="D22" s="211"/>
      <c r="E22" s="211"/>
      <c r="F22" s="211"/>
      <c r="G22" s="76" t="str">
        <f>'Combined Score Calcs'!M10</f>
        <v>D</v>
      </c>
      <c r="H22" s="39"/>
      <c r="I22" s="39"/>
      <c r="J22" s="39"/>
      <c r="K22" s="99"/>
      <c r="L22" s="90"/>
      <c r="N22" s="111"/>
      <c r="O22" s="108"/>
    </row>
    <row r="23" spans="2:15" ht="13.5" thickBot="1">
      <c r="B23" s="83"/>
      <c r="C23" s="84"/>
      <c r="D23" s="84"/>
      <c r="E23" s="84"/>
      <c r="F23" s="84"/>
      <c r="G23" s="84"/>
      <c r="H23" s="84"/>
      <c r="I23" s="84"/>
      <c r="J23" s="84"/>
      <c r="K23" s="84"/>
      <c r="L23" s="91"/>
      <c r="N23" s="111"/>
      <c r="O23" s="108"/>
    </row>
    <row r="24" spans="12:15" ht="12.75">
      <c r="L24" s="60"/>
      <c r="N24" s="111"/>
      <c r="O24" s="108"/>
    </row>
    <row r="25" spans="12:15" ht="12.75">
      <c r="L25" s="60"/>
      <c r="O25" s="108"/>
    </row>
    <row r="26" spans="12:15" ht="12.75">
      <c r="L26" s="60"/>
      <c r="O26" s="108"/>
    </row>
    <row r="27" spans="12:15" ht="12.75">
      <c r="L27" s="60"/>
      <c r="O27" s="108"/>
    </row>
    <row r="28" spans="12:15" ht="12.75">
      <c r="L28" s="60"/>
      <c r="O28" s="108"/>
    </row>
    <row r="29" spans="12:15" ht="12.75">
      <c r="L29" s="60"/>
      <c r="O29" s="108"/>
    </row>
    <row r="30" ht="12.75">
      <c r="L30" s="60"/>
    </row>
    <row r="31" ht="12.75">
      <c r="L31" s="60"/>
    </row>
    <row r="32" ht="12.75">
      <c r="L32" s="60"/>
    </row>
    <row r="33" ht="12.75">
      <c r="L33" s="60"/>
    </row>
    <row r="34" ht="12.75">
      <c r="L34" s="60"/>
    </row>
    <row r="35" ht="12.75">
      <c r="L35" s="60"/>
    </row>
    <row r="36" ht="12.75">
      <c r="L36" s="60"/>
    </row>
    <row r="37" ht="12.75">
      <c r="L37" s="60"/>
    </row>
    <row r="38" ht="12.75">
      <c r="L38" s="60"/>
    </row>
    <row r="39" ht="12.75">
      <c r="L39" s="60"/>
    </row>
    <row r="40" ht="12.75">
      <c r="L40" s="60"/>
    </row>
    <row r="41" ht="12.75">
      <c r="L41" s="60"/>
    </row>
    <row r="42" ht="12.75">
      <c r="L42" s="60"/>
    </row>
  </sheetData>
  <mergeCells count="1">
    <mergeCell ref="B22:F22"/>
  </mergeCells>
  <printOptions/>
  <pageMargins left="0.75" right="0.75" top="1" bottom="1" header="0.5" footer="0.5"/>
  <pageSetup horizontalDpi="600" verticalDpi="600" orientation="portrait" paperSize="133" r:id="rId1"/>
</worksheet>
</file>

<file path=xl/worksheets/sheet21.xml><?xml version="1.0" encoding="utf-8"?>
<worksheet xmlns="http://schemas.openxmlformats.org/spreadsheetml/2006/main" xmlns:r="http://schemas.openxmlformats.org/officeDocument/2006/relationships">
  <dimension ref="B1:AQ42"/>
  <sheetViews>
    <sheetView workbookViewId="0" topLeftCell="A1">
      <selection activeCell="B3" sqref="B3:L23"/>
    </sheetView>
  </sheetViews>
  <sheetFormatPr defaultColWidth="9.140625" defaultRowHeight="12.75"/>
  <cols>
    <col min="3" max="3" width="28.7109375" style="0" bestFit="1" customWidth="1"/>
    <col min="14" max="14" width="34.140625" style="0" customWidth="1"/>
    <col min="16" max="16" width="33.57421875" style="0" customWidth="1"/>
  </cols>
  <sheetData>
    <row r="1" spans="2:15" ht="15.75">
      <c r="B1" s="107" t="s">
        <v>145</v>
      </c>
      <c r="O1" s="109" t="s">
        <v>125</v>
      </c>
    </row>
    <row r="2" spans="12:39" ht="13.5" thickBot="1">
      <c r="L2" s="60"/>
      <c r="N2" s="116" t="s">
        <v>84</v>
      </c>
      <c r="O2" s="110"/>
      <c r="P2" t="s">
        <v>84</v>
      </c>
      <c r="Q2" t="s">
        <v>167</v>
      </c>
      <c r="R2" t="s">
        <v>167</v>
      </c>
      <c r="S2" t="s">
        <v>167</v>
      </c>
      <c r="T2" t="s">
        <v>167</v>
      </c>
      <c r="U2" t="s">
        <v>167</v>
      </c>
      <c r="V2" t="s">
        <v>167</v>
      </c>
      <c r="W2" t="s">
        <v>167</v>
      </c>
      <c r="X2" t="s">
        <v>167</v>
      </c>
      <c r="Y2" t="s">
        <v>167</v>
      </c>
      <c r="Z2" t="s">
        <v>167</v>
      </c>
      <c r="AA2" t="s">
        <v>167</v>
      </c>
      <c r="AB2" t="s">
        <v>167</v>
      </c>
      <c r="AC2" t="s">
        <v>167</v>
      </c>
      <c r="AD2" t="s">
        <v>167</v>
      </c>
      <c r="AE2" t="s">
        <v>167</v>
      </c>
      <c r="AF2" t="s">
        <v>167</v>
      </c>
      <c r="AG2" t="s">
        <v>167</v>
      </c>
      <c r="AH2" t="s">
        <v>167</v>
      </c>
      <c r="AI2" t="s">
        <v>167</v>
      </c>
      <c r="AJ2" t="s">
        <v>167</v>
      </c>
      <c r="AK2" t="s">
        <v>167</v>
      </c>
      <c r="AL2" t="s">
        <v>167</v>
      </c>
      <c r="AM2" t="s">
        <v>167</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36833.645833333336</v>
      </c>
      <c r="R3" s="64">
        <v>36922.493055555555</v>
      </c>
      <c r="S3" s="64">
        <v>37013.524305555555</v>
      </c>
      <c r="T3" s="64">
        <v>37112.62152777778</v>
      </c>
      <c r="U3" s="64">
        <v>37222.61111111111</v>
      </c>
      <c r="V3" s="64">
        <v>37383.663194444445</v>
      </c>
      <c r="W3" s="64">
        <v>37474.62152777778</v>
      </c>
      <c r="X3" s="64">
        <v>37586.541666666664</v>
      </c>
      <c r="Y3" s="64">
        <v>37648.65625</v>
      </c>
      <c r="Z3" s="64">
        <v>37747.65277777778</v>
      </c>
      <c r="AA3" s="64">
        <v>37837.635416666664</v>
      </c>
      <c r="AB3" s="64">
        <v>37950.493055555555</v>
      </c>
      <c r="AC3" s="64">
        <v>38027.631944444445</v>
      </c>
      <c r="AD3" s="64">
        <v>38111.65972222222</v>
      </c>
      <c r="AE3" s="64">
        <v>38202.572916666664</v>
      </c>
      <c r="AF3" s="64">
        <v>38336.708333333336</v>
      </c>
      <c r="AG3" s="64">
        <v>38393.5625</v>
      </c>
      <c r="AH3" s="64">
        <v>38477.6125</v>
      </c>
      <c r="AI3" s="64">
        <v>38593.61041666667</v>
      </c>
      <c r="AJ3" s="64">
        <v>38680.458333333336</v>
      </c>
      <c r="AK3" s="64">
        <v>38776.631944444445</v>
      </c>
      <c r="AL3" s="64">
        <v>38869.57986111111</v>
      </c>
      <c r="AM3" s="64">
        <v>38960.586805555555</v>
      </c>
      <c r="AO3" s="64"/>
      <c r="AP3" s="64"/>
      <c r="AQ3" s="64"/>
    </row>
    <row r="4" spans="2:39" ht="12.75">
      <c r="B4" s="68" t="s">
        <v>103</v>
      </c>
      <c r="C4" s="93" t="s">
        <v>4</v>
      </c>
      <c r="D4" s="81">
        <f>COUNT(Q4:EC4)</f>
        <v>20</v>
      </c>
      <c r="E4" s="82">
        <f>AVERAGE(Q4:EC4)</f>
        <v>0.24109999999999995</v>
      </c>
      <c r="F4" s="82">
        <f aca="true" t="shared" si="0" ref="F4:F15">CONFIDENCE(0.05,G4,D4)</f>
        <v>0.12379888991457608</v>
      </c>
      <c r="G4" s="82">
        <f>STDEV(Q4:EC4)</f>
        <v>0.28247736751445196</v>
      </c>
      <c r="H4" s="82">
        <f>QUARTILE(Q4:EC4,2)</f>
        <v>0.125</v>
      </c>
      <c r="I4" s="82">
        <f>MIN(Q4:EC4)</f>
        <v>0.002</v>
      </c>
      <c r="J4" s="82">
        <f>MAX(Q4:EC4)</f>
        <v>0.94</v>
      </c>
      <c r="K4" s="82">
        <f>PERCENTILE(Q4:EC4,0.95)</f>
        <v>0.7595000000000002</v>
      </c>
      <c r="L4" s="102" t="str">
        <f>IF((H4+H5)&lt;0.08,"A",IF((H4+H5)&lt;0.12,"B",IF((H4+H5)&lt;0.295,"C",IF((H4+H5)&lt;0.444,"D","E"))))</f>
        <v>C</v>
      </c>
      <c r="N4" s="116" t="s">
        <v>86</v>
      </c>
      <c r="O4" s="108"/>
      <c r="P4" t="s">
        <v>86</v>
      </c>
      <c r="R4">
        <v>0.16</v>
      </c>
      <c r="S4">
        <v>0.06</v>
      </c>
      <c r="V4">
        <v>0.13</v>
      </c>
      <c r="W4">
        <v>0.32</v>
      </c>
      <c r="X4">
        <v>0.053</v>
      </c>
      <c r="Y4">
        <v>0.014</v>
      </c>
      <c r="Z4">
        <v>0.14</v>
      </c>
      <c r="AA4">
        <v>0.24</v>
      </c>
      <c r="AB4">
        <v>0.11</v>
      </c>
      <c r="AC4">
        <v>0.12</v>
      </c>
      <c r="AD4">
        <v>0.7</v>
      </c>
      <c r="AE4">
        <v>0.75</v>
      </c>
      <c r="AF4">
        <v>0.035</v>
      </c>
      <c r="AG4">
        <v>0.048</v>
      </c>
      <c r="AH4">
        <v>0.031</v>
      </c>
      <c r="AI4">
        <v>0.35</v>
      </c>
      <c r="AJ4">
        <v>0.019</v>
      </c>
      <c r="AK4">
        <v>0.002</v>
      </c>
      <c r="AL4">
        <v>0.94</v>
      </c>
      <c r="AM4">
        <v>0.6</v>
      </c>
    </row>
    <row r="5" spans="2:39" ht="12.75">
      <c r="B5" s="69"/>
      <c r="C5" s="5" t="s">
        <v>5</v>
      </c>
      <c r="D5" s="73">
        <f>COUNT(Q5:EC5)</f>
        <v>18</v>
      </c>
      <c r="E5" s="112">
        <f>AVERAGE(Q5:EC5)</f>
        <v>0.014944444444444448</v>
      </c>
      <c r="F5" s="112">
        <f t="shared" si="0"/>
        <v>0.0057818714389914075</v>
      </c>
      <c r="G5" s="112">
        <f>STDEV(Q5:EC5)</f>
        <v>0.012515741721914568</v>
      </c>
      <c r="H5" s="112">
        <f>QUARTILE(Q5:EC5,2)</f>
        <v>0.0125</v>
      </c>
      <c r="I5" s="112">
        <f>MIN(Q5:EC5)</f>
        <v>0.005</v>
      </c>
      <c r="J5" s="112">
        <f>MAX(Q5:EC5)</f>
        <v>0.054</v>
      </c>
      <c r="K5" s="112">
        <f>PERCENTILE(Q5:EC5,0.95)</f>
        <v>0.03869999999999997</v>
      </c>
      <c r="L5" s="102"/>
      <c r="N5" s="116" t="s">
        <v>87</v>
      </c>
      <c r="O5" s="108"/>
      <c r="P5" t="s">
        <v>87</v>
      </c>
      <c r="V5">
        <v>0.012</v>
      </c>
      <c r="W5">
        <v>0.014</v>
      </c>
      <c r="X5">
        <v>0.009</v>
      </c>
      <c r="Y5">
        <v>0.014</v>
      </c>
      <c r="Z5">
        <v>0.054</v>
      </c>
      <c r="AA5">
        <v>0.013</v>
      </c>
      <c r="AB5">
        <v>0.015</v>
      </c>
      <c r="AC5">
        <v>0.036</v>
      </c>
      <c r="AD5">
        <v>0.006</v>
      </c>
      <c r="AE5">
        <v>0.005</v>
      </c>
      <c r="AF5">
        <v>0.005</v>
      </c>
      <c r="AG5">
        <v>0.013</v>
      </c>
      <c r="AH5">
        <v>0.009</v>
      </c>
      <c r="AI5">
        <v>0.008</v>
      </c>
      <c r="AJ5">
        <v>0.005</v>
      </c>
      <c r="AK5">
        <v>0.015</v>
      </c>
      <c r="AL5">
        <v>0.027</v>
      </c>
      <c r="AM5">
        <v>0.009</v>
      </c>
    </row>
    <row r="6" spans="2:39" ht="12.75">
      <c r="B6" s="70"/>
      <c r="C6" s="94" t="s">
        <v>6</v>
      </c>
      <c r="D6" s="73">
        <f>COUNT(Q6:EC6)</f>
        <v>23</v>
      </c>
      <c r="E6" s="112">
        <f>AVERAGE(Q6:EC6)</f>
        <v>0.031739130434782624</v>
      </c>
      <c r="F6" s="112">
        <f t="shared" si="0"/>
        <v>0.014670245278746549</v>
      </c>
      <c r="G6" s="112">
        <f>STDEV(Q6:EC6)</f>
        <v>0.03589659060957326</v>
      </c>
      <c r="H6" s="112">
        <f>QUARTILE(Q6:EC6,2)</f>
        <v>0.024</v>
      </c>
      <c r="I6" s="112">
        <f>MIN(Q6:EC6)</f>
        <v>0.01</v>
      </c>
      <c r="J6" s="112">
        <f>MAX(Q6:EC6)</f>
        <v>0.19</v>
      </c>
      <c r="K6" s="112">
        <f>PERCENTILE(Q6:EC6,0.95)</f>
        <v>0.05159999999999998</v>
      </c>
      <c r="L6" s="102" t="str">
        <f>IF((H6)&lt;0.005,"A",IF((H6)&lt;0.008,"B",IF((H6)&lt;0.026,"C",IF((H6)&lt;0.05,"D","E"))))</f>
        <v>C</v>
      </c>
      <c r="N6" s="116" t="s">
        <v>88</v>
      </c>
      <c r="O6" s="108"/>
      <c r="P6" t="s">
        <v>88</v>
      </c>
      <c r="Q6">
        <v>0.012</v>
      </c>
      <c r="R6">
        <v>0.025</v>
      </c>
      <c r="S6">
        <v>0.031</v>
      </c>
      <c r="T6">
        <v>0.02</v>
      </c>
      <c r="U6">
        <v>0.023</v>
      </c>
      <c r="V6">
        <v>0.19</v>
      </c>
      <c r="W6">
        <v>0.017</v>
      </c>
      <c r="X6">
        <v>0.013</v>
      </c>
      <c r="Y6">
        <v>0.02</v>
      </c>
      <c r="Z6">
        <v>0.033</v>
      </c>
      <c r="AA6">
        <v>0.022</v>
      </c>
      <c r="AB6">
        <v>0.025</v>
      </c>
      <c r="AC6">
        <v>0.024</v>
      </c>
      <c r="AD6">
        <v>0.025</v>
      </c>
      <c r="AE6">
        <v>0.01</v>
      </c>
      <c r="AF6">
        <v>0.018</v>
      </c>
      <c r="AG6">
        <v>0.036</v>
      </c>
      <c r="AH6">
        <v>0.024</v>
      </c>
      <c r="AI6">
        <v>0.016</v>
      </c>
      <c r="AJ6">
        <v>0.036</v>
      </c>
      <c r="AK6">
        <v>0.053</v>
      </c>
      <c r="AL6">
        <v>0.039</v>
      </c>
      <c r="AM6">
        <v>0.018</v>
      </c>
    </row>
    <row r="7" spans="2:39" ht="12.75">
      <c r="B7" s="71" t="s">
        <v>104</v>
      </c>
      <c r="C7" s="6" t="s">
        <v>7</v>
      </c>
      <c r="D7" s="86">
        <f>COUNT(Q7:EC7)</f>
        <v>23</v>
      </c>
      <c r="E7" s="113">
        <f>AVERAGE(Q7:EC7)</f>
        <v>7.810869565217393</v>
      </c>
      <c r="F7" s="113">
        <f t="shared" si="0"/>
        <v>0.1285937838911423</v>
      </c>
      <c r="G7" s="113">
        <f>STDEV(Q7:EC7)</f>
        <v>0.31465584436845057</v>
      </c>
      <c r="H7" s="113">
        <f>QUARTILE(Q7:EC7,2)</f>
        <v>7.85</v>
      </c>
      <c r="I7" s="113">
        <f>MIN(Q7:EC7)</f>
        <v>6.93</v>
      </c>
      <c r="J7" s="113">
        <f>MAX(Q7:EC7)</f>
        <v>8.36</v>
      </c>
      <c r="K7" s="113">
        <f>PERCENTILE(Q7:EC7,0.95)</f>
        <v>8.297</v>
      </c>
      <c r="L7" s="103" t="str">
        <f>IF(AND(7.2&lt;H7,H7&lt;9),"A",IF(AND(7.2&lt;=H7,H7&lt;=9),"B",IF(AND(6.5&lt;=H7,H7&lt;=9),"C",IF(AND(6.5&lt;=H7,H7&lt;=10),"D","E"))))</f>
        <v>A</v>
      </c>
      <c r="N7" s="116" t="s">
        <v>89</v>
      </c>
      <c r="O7" s="108"/>
      <c r="P7" t="s">
        <v>89</v>
      </c>
      <c r="Q7">
        <v>8.3</v>
      </c>
      <c r="R7">
        <v>7.81</v>
      </c>
      <c r="S7">
        <v>8.27</v>
      </c>
      <c r="T7">
        <v>7.76</v>
      </c>
      <c r="U7">
        <v>7.78</v>
      </c>
      <c r="V7">
        <v>7.81</v>
      </c>
      <c r="W7">
        <v>7.91</v>
      </c>
      <c r="X7">
        <v>8.36</v>
      </c>
      <c r="Y7">
        <v>7.64</v>
      </c>
      <c r="Z7">
        <v>7.94</v>
      </c>
      <c r="AA7">
        <v>7.62</v>
      </c>
      <c r="AB7">
        <v>7.97</v>
      </c>
      <c r="AC7">
        <v>7.85</v>
      </c>
      <c r="AD7">
        <v>7.27</v>
      </c>
      <c r="AE7">
        <v>7.47</v>
      </c>
      <c r="AF7">
        <v>7.95</v>
      </c>
      <c r="AG7">
        <v>7.91</v>
      </c>
      <c r="AH7">
        <v>7.65</v>
      </c>
      <c r="AI7">
        <v>7.87</v>
      </c>
      <c r="AJ7">
        <v>6.93</v>
      </c>
      <c r="AK7">
        <v>7.68</v>
      </c>
      <c r="AL7">
        <v>7.9</v>
      </c>
      <c r="AM7">
        <v>8</v>
      </c>
    </row>
    <row r="8" spans="2:39" ht="12.75">
      <c r="B8" s="71"/>
      <c r="C8" s="6" t="s">
        <v>8</v>
      </c>
      <c r="D8" s="81">
        <f>COUNT(Q8:EC8)</f>
        <v>23</v>
      </c>
      <c r="E8" s="44">
        <f>AVERAGE(Q8:EC8)</f>
        <v>14.54304347826087</v>
      </c>
      <c r="F8" s="44">
        <f t="shared" si="0"/>
        <v>1.4268707614417147</v>
      </c>
      <c r="G8" s="44">
        <f>STDEV(Q8:EC8)</f>
        <v>3.4914068990003693</v>
      </c>
      <c r="H8" s="44">
        <f>QUARTILE(Q8:EC8,2)</f>
        <v>13.58</v>
      </c>
      <c r="I8" s="44">
        <f>MIN(Q8:EC8)</f>
        <v>9.1</v>
      </c>
      <c r="J8" s="44">
        <f>MAX(Q8:EC8)</f>
        <v>21.6</v>
      </c>
      <c r="K8" s="44">
        <f>PERCENTILE(Q8:EC8,0.95)</f>
        <v>21.167999999999996</v>
      </c>
      <c r="L8" s="102" t="str">
        <f>IF(H8&lt;18,"A",IF(H8&lt;20,"B",IF(H8&lt;22,"C",IF(H8&lt;25,"D","E"))))</f>
        <v>A</v>
      </c>
      <c r="N8" s="116" t="s">
        <v>90</v>
      </c>
      <c r="O8" s="108"/>
      <c r="P8" t="s">
        <v>90</v>
      </c>
      <c r="Q8">
        <v>15.8</v>
      </c>
      <c r="R8">
        <v>18.9</v>
      </c>
      <c r="S8">
        <v>13.5</v>
      </c>
      <c r="T8">
        <v>11.7</v>
      </c>
      <c r="U8">
        <v>14.5</v>
      </c>
      <c r="V8">
        <v>13.58</v>
      </c>
      <c r="W8">
        <v>10.7</v>
      </c>
      <c r="X8">
        <v>17.2</v>
      </c>
      <c r="Y8">
        <v>17.2</v>
      </c>
      <c r="Z8">
        <v>11.7</v>
      </c>
      <c r="AA8">
        <v>11</v>
      </c>
      <c r="AB8">
        <v>16.5</v>
      </c>
      <c r="AC8">
        <v>21.6</v>
      </c>
      <c r="AD8">
        <v>12.8</v>
      </c>
      <c r="AE8">
        <v>9.1</v>
      </c>
      <c r="AF8">
        <v>16.6</v>
      </c>
      <c r="AG8">
        <v>21.4</v>
      </c>
      <c r="AH8">
        <v>13.6</v>
      </c>
      <c r="AI8">
        <v>12.38</v>
      </c>
      <c r="AJ8">
        <v>13.24</v>
      </c>
      <c r="AK8">
        <v>19.08</v>
      </c>
      <c r="AL8">
        <v>10.81</v>
      </c>
      <c r="AM8">
        <v>11.6</v>
      </c>
    </row>
    <row r="9" spans="2:39" ht="12.75">
      <c r="B9" s="71"/>
      <c r="C9" s="7" t="s">
        <v>9</v>
      </c>
      <c r="D9" s="81">
        <f>COUNT(Q9:EC9)</f>
        <v>23</v>
      </c>
      <c r="E9" s="44">
        <f>AVERAGE(Q9:EC9)</f>
        <v>103.89565217391304</v>
      </c>
      <c r="F9" s="44">
        <f t="shared" si="0"/>
        <v>7.819692718327643</v>
      </c>
      <c r="G9" s="44">
        <f>STDEV(Q9:EC9)</f>
        <v>19.133988755398093</v>
      </c>
      <c r="H9" s="44">
        <f>QUARTILE(Q9:EC9,2)</f>
        <v>104.6</v>
      </c>
      <c r="I9" s="44">
        <f>MIN(Q9:EC9)</f>
        <v>64.1</v>
      </c>
      <c r="J9" s="44">
        <f>MAX(Q9:EC9)</f>
        <v>152.8</v>
      </c>
      <c r="K9" s="44">
        <f>PERCENTILE(Q9:EC9,0.95)</f>
        <v>130.21</v>
      </c>
      <c r="L9" s="104" t="str">
        <f>IF(AND(99&lt;=H9,H9&lt;=103),"A",IF(AND(98&lt;=H9,H9&lt;=105),"B",IF(H9&gt;90,"C",IF(H9&gt;80,"D","E"))))</f>
        <v>B</v>
      </c>
      <c r="N9" s="116" t="s">
        <v>91</v>
      </c>
      <c r="O9" s="108"/>
      <c r="P9" t="s">
        <v>91</v>
      </c>
      <c r="Q9">
        <v>115.8</v>
      </c>
      <c r="R9">
        <v>92.9</v>
      </c>
      <c r="S9">
        <v>81.7</v>
      </c>
      <c r="T9">
        <v>93.4</v>
      </c>
      <c r="U9">
        <v>91.8</v>
      </c>
      <c r="V9">
        <v>101.4</v>
      </c>
      <c r="W9">
        <v>114.8</v>
      </c>
      <c r="X9">
        <v>129.4</v>
      </c>
      <c r="Y9">
        <v>64.1</v>
      </c>
      <c r="Z9">
        <v>90.5</v>
      </c>
      <c r="AA9">
        <v>107.8</v>
      </c>
      <c r="AB9">
        <v>116.3</v>
      </c>
      <c r="AC9">
        <v>111.8</v>
      </c>
      <c r="AD9">
        <v>93.8</v>
      </c>
      <c r="AE9">
        <v>97.5</v>
      </c>
      <c r="AF9">
        <v>130.3</v>
      </c>
      <c r="AG9">
        <v>113.8</v>
      </c>
      <c r="AH9">
        <v>104.6</v>
      </c>
      <c r="AI9">
        <v>112.8</v>
      </c>
      <c r="AJ9">
        <v>78.9</v>
      </c>
      <c r="AK9">
        <v>152.8</v>
      </c>
      <c r="AL9">
        <v>88.5</v>
      </c>
      <c r="AM9">
        <v>104.9</v>
      </c>
    </row>
    <row r="10" spans="2:39" ht="12.75">
      <c r="B10" s="71"/>
      <c r="C10" s="6" t="s">
        <v>10</v>
      </c>
      <c r="D10" s="81">
        <f>COUNT(Q10:EC10)</f>
        <v>23</v>
      </c>
      <c r="E10" s="44">
        <f>AVERAGE(Q10:EC10)</f>
        <v>10.580000000000002</v>
      </c>
      <c r="F10" s="44">
        <f t="shared" si="0"/>
        <v>0.7190754254210382</v>
      </c>
      <c r="G10" s="44">
        <f>STDEV(Q10:EC10)</f>
        <v>1.7595040623580622</v>
      </c>
      <c r="H10" s="44">
        <f>QUARTILE(Q10:EC10,2)</f>
        <v>10.53</v>
      </c>
      <c r="I10" s="44">
        <f>MIN(Q10:EC10)</f>
        <v>6.16</v>
      </c>
      <c r="J10" s="44">
        <f>MAX(Q10:EC10)</f>
        <v>14.27</v>
      </c>
      <c r="K10" s="44">
        <f>PERCENTILE(Q10:EC10,0.95)</f>
        <v>12.717</v>
      </c>
      <c r="L10" s="102"/>
      <c r="N10" s="116" t="s">
        <v>92</v>
      </c>
      <c r="O10" s="108"/>
      <c r="P10" t="s">
        <v>92</v>
      </c>
      <c r="Q10">
        <v>11.08</v>
      </c>
      <c r="R10">
        <v>8.56</v>
      </c>
      <c r="S10">
        <v>9.14</v>
      </c>
      <c r="T10">
        <v>10.11</v>
      </c>
      <c r="U10">
        <v>9.38</v>
      </c>
      <c r="V10">
        <v>10.53</v>
      </c>
      <c r="W10">
        <v>12.72</v>
      </c>
      <c r="X10">
        <v>12.48</v>
      </c>
      <c r="Y10">
        <v>6.16</v>
      </c>
      <c r="Z10">
        <v>9.8</v>
      </c>
      <c r="AA10">
        <v>11.88</v>
      </c>
      <c r="AB10">
        <v>11.37</v>
      </c>
      <c r="AC10">
        <v>9.84</v>
      </c>
      <c r="AD10">
        <v>9.93</v>
      </c>
      <c r="AE10">
        <v>11.22</v>
      </c>
      <c r="AF10">
        <v>12.69</v>
      </c>
      <c r="AG10">
        <v>10.06</v>
      </c>
      <c r="AH10">
        <v>10.86</v>
      </c>
      <c r="AI10">
        <v>12.04</v>
      </c>
      <c r="AJ10">
        <v>8.12</v>
      </c>
      <c r="AK10">
        <v>14.27</v>
      </c>
      <c r="AL10">
        <v>9.71</v>
      </c>
      <c r="AM10">
        <v>11.39</v>
      </c>
    </row>
    <row r="11" spans="2:39" ht="12.75">
      <c r="B11" s="72"/>
      <c r="C11" s="95" t="s">
        <v>11</v>
      </c>
      <c r="D11" s="87">
        <f>COUNT(Q11:EC11)</f>
        <v>23</v>
      </c>
      <c r="E11" s="115">
        <f>AVERAGE(Q11:EC11)</f>
        <v>355.6521739130435</v>
      </c>
      <c r="F11" s="115">
        <f t="shared" si="0"/>
        <v>17.67508609819176</v>
      </c>
      <c r="G11" s="115">
        <f>STDEV(Q11:EC11)</f>
        <v>43.24912894094159</v>
      </c>
      <c r="H11" s="115">
        <f>QUARTILE(Q11:EC11,2)</f>
        <v>356</v>
      </c>
      <c r="I11" s="115">
        <f>MIN(Q11:EC11)</f>
        <v>251</v>
      </c>
      <c r="J11" s="115">
        <f>MAX(Q11:EC11)</f>
        <v>414</v>
      </c>
      <c r="K11" s="115">
        <f>PERCENTILE(Q11:EC11,0.95)</f>
        <v>412.39</v>
      </c>
      <c r="L11" s="105"/>
      <c r="N11" s="116" t="s">
        <v>93</v>
      </c>
      <c r="O11" s="108"/>
      <c r="P11" t="s">
        <v>93</v>
      </c>
      <c r="Q11">
        <v>371.2</v>
      </c>
      <c r="R11">
        <v>411.4</v>
      </c>
      <c r="S11">
        <v>412.5</v>
      </c>
      <c r="T11">
        <v>340.1</v>
      </c>
      <c r="U11">
        <v>277.8</v>
      </c>
      <c r="V11">
        <v>396</v>
      </c>
      <c r="W11">
        <v>391</v>
      </c>
      <c r="X11">
        <v>367</v>
      </c>
      <c r="Y11">
        <v>385</v>
      </c>
      <c r="Z11">
        <v>397</v>
      </c>
      <c r="AA11">
        <v>351</v>
      </c>
      <c r="AB11">
        <v>344</v>
      </c>
      <c r="AC11">
        <v>331</v>
      </c>
      <c r="AD11">
        <v>251</v>
      </c>
      <c r="AE11">
        <v>277</v>
      </c>
      <c r="AF11">
        <v>344</v>
      </c>
      <c r="AG11">
        <v>355</v>
      </c>
      <c r="AH11">
        <v>372</v>
      </c>
      <c r="AI11">
        <v>326</v>
      </c>
      <c r="AJ11">
        <v>362</v>
      </c>
      <c r="AK11">
        <v>414</v>
      </c>
      <c r="AL11">
        <v>348</v>
      </c>
      <c r="AM11">
        <v>356</v>
      </c>
    </row>
    <row r="12" spans="2:39" ht="12.75">
      <c r="B12" s="68" t="s">
        <v>105</v>
      </c>
      <c r="C12" s="4" t="s">
        <v>12</v>
      </c>
      <c r="D12" s="81">
        <f>COUNT(Q12:EC12)</f>
        <v>23</v>
      </c>
      <c r="E12" s="82">
        <f>AVERAGE(Q12:EC12)</f>
        <v>4.276521739130436</v>
      </c>
      <c r="F12" s="82">
        <f t="shared" si="0"/>
        <v>1.431005358519381</v>
      </c>
      <c r="G12" s="82">
        <f>STDEV(Q12:EC12)</f>
        <v>3.501523835412301</v>
      </c>
      <c r="H12" s="82">
        <f>QUARTILE(Q12:EC12,2)</f>
        <v>3.04</v>
      </c>
      <c r="I12" s="82">
        <f>MIN(Q12:EC12)</f>
        <v>1.5</v>
      </c>
      <c r="J12" s="82">
        <f>MAX(Q12:EC12)</f>
        <v>16.8</v>
      </c>
      <c r="K12" s="82">
        <f>PERCENTILE(Q12:EC12,0.95)</f>
        <v>8.951999999999998</v>
      </c>
      <c r="L12" s="102" t="str">
        <f>IF(H12&lt;1,"A",IF(H12&lt;2,"B",IF(H12&lt;3,"C",IF(H12&lt;5,"D","E"))))</f>
        <v>D</v>
      </c>
      <c r="N12" s="116" t="s">
        <v>94</v>
      </c>
      <c r="O12" s="108"/>
      <c r="P12" t="s">
        <v>94</v>
      </c>
      <c r="Q12">
        <v>1.65</v>
      </c>
      <c r="R12">
        <v>1.55</v>
      </c>
      <c r="S12">
        <v>3.04</v>
      </c>
      <c r="T12">
        <v>2.55</v>
      </c>
      <c r="U12">
        <v>5.13</v>
      </c>
      <c r="V12">
        <v>3.04</v>
      </c>
      <c r="W12">
        <v>4.26</v>
      </c>
      <c r="X12">
        <v>1.87</v>
      </c>
      <c r="Y12">
        <v>1.64</v>
      </c>
      <c r="Z12">
        <v>7.62</v>
      </c>
      <c r="AA12">
        <v>1.82</v>
      </c>
      <c r="AB12">
        <v>2.82</v>
      </c>
      <c r="AC12">
        <v>1.5</v>
      </c>
      <c r="AD12">
        <v>16.8</v>
      </c>
      <c r="AE12">
        <v>4.46</v>
      </c>
      <c r="AF12">
        <v>1.69</v>
      </c>
      <c r="AG12">
        <v>2.53</v>
      </c>
      <c r="AH12">
        <v>2.12</v>
      </c>
      <c r="AI12">
        <v>5.2</v>
      </c>
      <c r="AJ12">
        <v>9.1</v>
      </c>
      <c r="AK12">
        <v>4.23</v>
      </c>
      <c r="AL12">
        <v>6.95</v>
      </c>
      <c r="AM12">
        <v>6.79</v>
      </c>
    </row>
    <row r="13" spans="2:39" ht="12.75">
      <c r="B13" s="71"/>
      <c r="C13" s="6" t="s">
        <v>13</v>
      </c>
      <c r="D13" s="81">
        <f>COUNT(Q13:EC13)</f>
        <v>20</v>
      </c>
      <c r="E13" s="44">
        <f>AVERAGE(Q13:EC13)</f>
        <v>1.4700000000000002</v>
      </c>
      <c r="F13" s="44">
        <f t="shared" si="0"/>
        <v>0.29685188819728153</v>
      </c>
      <c r="G13" s="44">
        <f>STDEV(Q13:EC13)</f>
        <v>0.6773399985857995</v>
      </c>
      <c r="H13" s="44">
        <f>QUARTILE(Q13:EC13,2)</f>
        <v>1.425</v>
      </c>
      <c r="I13" s="44">
        <f>MIN(Q13:EC13)</f>
        <v>0.35</v>
      </c>
      <c r="J13" s="44">
        <f>MAX(Q13:EC13)</f>
        <v>2.7</v>
      </c>
      <c r="K13" s="44">
        <f>PERCENTILE(Q13:EC13,0.95)</f>
        <v>2.415</v>
      </c>
      <c r="L13" s="102" t="str">
        <f>IF(H13&gt;6,"A",IF(H13&gt;4,"B",IF(H13&gt;2.5,"C",IF(H13&gt;0.6,"D","E"))))</f>
        <v>D</v>
      </c>
      <c r="N13" s="116" t="s">
        <v>13</v>
      </c>
      <c r="O13" s="108"/>
      <c r="P13" t="s">
        <v>13</v>
      </c>
      <c r="Q13">
        <v>2.2</v>
      </c>
      <c r="S13">
        <v>1.8</v>
      </c>
      <c r="T13">
        <v>0.8</v>
      </c>
      <c r="U13">
        <v>1.35</v>
      </c>
      <c r="V13">
        <v>1.2</v>
      </c>
      <c r="W13">
        <v>1</v>
      </c>
      <c r="X13">
        <v>1.5</v>
      </c>
      <c r="AA13">
        <v>2.7</v>
      </c>
      <c r="AB13">
        <v>2.4</v>
      </c>
      <c r="AC13">
        <v>1.6</v>
      </c>
      <c r="AD13">
        <v>0.35</v>
      </c>
      <c r="AE13">
        <v>1.6</v>
      </c>
      <c r="AF13">
        <v>2.1</v>
      </c>
      <c r="AG13">
        <v>2.3</v>
      </c>
      <c r="AH13">
        <v>2.2</v>
      </c>
      <c r="AI13">
        <v>1</v>
      </c>
      <c r="AJ13">
        <v>0.9</v>
      </c>
      <c r="AK13">
        <v>1</v>
      </c>
      <c r="AL13">
        <v>0.5</v>
      </c>
      <c r="AM13">
        <v>0.9</v>
      </c>
    </row>
    <row r="14" spans="2:39" ht="12.75">
      <c r="B14" s="72"/>
      <c r="C14" s="95" t="s">
        <v>14</v>
      </c>
      <c r="D14" s="87">
        <f>COUNT(Q14:EC14)</f>
        <v>23</v>
      </c>
      <c r="E14" s="115">
        <f>AVERAGE(Q14:EC14)</f>
        <v>4.391304347826087</v>
      </c>
      <c r="F14" s="115">
        <f t="shared" si="0"/>
        <v>1.2849338146983893</v>
      </c>
      <c r="G14" s="115">
        <f>STDEV(Q14:EC14)</f>
        <v>3.1441016990662285</v>
      </c>
      <c r="H14" s="115">
        <f>QUARTILE(Q14:EC14,2)</f>
        <v>3</v>
      </c>
      <c r="I14" s="115">
        <f>MIN(Q14:EC14)</f>
        <v>1</v>
      </c>
      <c r="J14" s="115">
        <f>MAX(Q14:EC14)</f>
        <v>15</v>
      </c>
      <c r="K14" s="115">
        <f>PERCENTILE(Q14:EC14,0.95)</f>
        <v>9.799999999999997</v>
      </c>
      <c r="L14" s="102"/>
      <c r="N14" s="116" t="s">
        <v>95</v>
      </c>
      <c r="O14" s="108"/>
      <c r="P14" t="s">
        <v>95</v>
      </c>
      <c r="Q14">
        <v>2</v>
      </c>
      <c r="R14">
        <v>3</v>
      </c>
      <c r="S14">
        <v>2</v>
      </c>
      <c r="T14">
        <v>3</v>
      </c>
      <c r="U14">
        <v>4</v>
      </c>
      <c r="V14">
        <v>3</v>
      </c>
      <c r="W14">
        <v>3</v>
      </c>
      <c r="X14">
        <v>8</v>
      </c>
      <c r="Y14">
        <v>3</v>
      </c>
      <c r="Z14">
        <v>6</v>
      </c>
      <c r="AA14">
        <v>3</v>
      </c>
      <c r="AB14">
        <v>2</v>
      </c>
      <c r="AC14">
        <v>4</v>
      </c>
      <c r="AD14">
        <v>10</v>
      </c>
      <c r="AE14">
        <v>15</v>
      </c>
      <c r="AF14">
        <v>1</v>
      </c>
      <c r="AG14">
        <v>2</v>
      </c>
      <c r="AH14">
        <v>4</v>
      </c>
      <c r="AI14">
        <v>6</v>
      </c>
      <c r="AJ14">
        <v>2</v>
      </c>
      <c r="AK14">
        <v>4</v>
      </c>
      <c r="AL14">
        <v>6</v>
      </c>
      <c r="AM14">
        <v>5</v>
      </c>
    </row>
    <row r="15" spans="2:39" ht="12.75">
      <c r="B15" s="208" t="s">
        <v>267</v>
      </c>
      <c r="C15" s="8" t="s">
        <v>268</v>
      </c>
      <c r="D15" s="81">
        <f>COUNT(Q15:EC15)</f>
        <v>23</v>
      </c>
      <c r="E15" s="40">
        <f>AVERAGE(Q15:EC15)</f>
        <v>751.6521739130435</v>
      </c>
      <c r="F15" s="40">
        <f t="shared" si="0"/>
        <v>494.4000674127277</v>
      </c>
      <c r="G15" s="40">
        <f>STDEV(Q15:EC15)</f>
        <v>1209.746427550969</v>
      </c>
      <c r="H15" s="40">
        <f>QUARTILE(Q15:EC15,2)</f>
        <v>240</v>
      </c>
      <c r="I15" s="40">
        <f>MIN(Q15:EC15)</f>
        <v>5</v>
      </c>
      <c r="J15" s="40">
        <f>MAX(Q15:EC15)</f>
        <v>4700</v>
      </c>
      <c r="K15" s="40">
        <f>PERCENTILE(Q15:EC15,0.95)</f>
        <v>3379.999999999998</v>
      </c>
      <c r="L15" s="106" t="str">
        <f>IF(H15&lt;10,"A",IF(H15&lt;130,"B",IF(H15&lt;260,"C",IF(H15&lt;550,"D","E"))))</f>
        <v>C</v>
      </c>
      <c r="N15" s="116" t="s">
        <v>255</v>
      </c>
      <c r="O15" s="108"/>
      <c r="P15" t="s">
        <v>255</v>
      </c>
      <c r="Q15">
        <v>120</v>
      </c>
      <c r="R15">
        <v>380</v>
      </c>
      <c r="S15">
        <v>4700</v>
      </c>
      <c r="T15">
        <v>140</v>
      </c>
      <c r="U15">
        <v>240</v>
      </c>
      <c r="V15">
        <v>180</v>
      </c>
      <c r="W15">
        <v>125</v>
      </c>
      <c r="X15">
        <v>300</v>
      </c>
      <c r="Y15">
        <v>340</v>
      </c>
      <c r="Z15">
        <v>3500</v>
      </c>
      <c r="AA15">
        <v>5</v>
      </c>
      <c r="AB15">
        <v>400</v>
      </c>
      <c r="AC15">
        <v>405</v>
      </c>
      <c r="AD15">
        <v>1600</v>
      </c>
      <c r="AE15">
        <v>110</v>
      </c>
      <c r="AF15">
        <v>190</v>
      </c>
      <c r="AG15">
        <v>300</v>
      </c>
      <c r="AH15">
        <v>190</v>
      </c>
      <c r="AI15">
        <v>83</v>
      </c>
      <c r="AJ15">
        <v>1400</v>
      </c>
      <c r="AK15">
        <v>200</v>
      </c>
      <c r="AL15">
        <v>2300</v>
      </c>
      <c r="AM15">
        <v>80</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87.66666666666667</v>
      </c>
      <c r="F17" s="44">
        <f>CONFIDENCE(0.05,G17,D17)</f>
        <v>3.3055735056243756</v>
      </c>
      <c r="G17" s="44">
        <f>STDEV(Q17:EC17)</f>
        <v>4.131182235954637</v>
      </c>
      <c r="H17" s="44">
        <f>QUARTILE(Q17:EC17,2)</f>
        <v>89.5</v>
      </c>
      <c r="I17" s="44">
        <f>MIN(Q17:EC17)</f>
        <v>80</v>
      </c>
      <c r="J17" s="44">
        <f>MAX(Q17:EC17)</f>
        <v>91</v>
      </c>
      <c r="K17" s="44">
        <f>PERCENTILE(Q17:EC17,0.95)</f>
        <v>90.75</v>
      </c>
      <c r="L17" s="102" t="str">
        <f>IF(H17&gt;120,"A",IF(H17&gt;100,"B",IF(H17&gt;80,"C",IF(H17&gt;60,"D","E"))))</f>
        <v>C</v>
      </c>
      <c r="N17" s="116" t="s">
        <v>17</v>
      </c>
      <c r="O17" s="108"/>
      <c r="P17" t="s">
        <v>17</v>
      </c>
      <c r="Q17">
        <v>80</v>
      </c>
      <c r="U17">
        <v>90</v>
      </c>
      <c r="X17">
        <v>89</v>
      </c>
      <c r="AB17">
        <v>91</v>
      </c>
      <c r="AF17">
        <v>86</v>
      </c>
      <c r="AJ17">
        <v>90</v>
      </c>
    </row>
    <row r="18" spans="2:36" ht="12.75">
      <c r="B18" s="74"/>
      <c r="C18" s="96" t="s">
        <v>18</v>
      </c>
      <c r="D18" s="81">
        <f>COUNT(Q18:EC18)</f>
        <v>6</v>
      </c>
      <c r="E18" s="44">
        <f>AVERAGE(Q18:EC18)</f>
        <v>3.521333333333333</v>
      </c>
      <c r="F18" s="44">
        <f>CONFIDENCE(0.05,G18,D18)</f>
        <v>0.587249751393288</v>
      </c>
      <c r="G18" s="44">
        <f>STDEV(Q18:EC18)</f>
        <v>0.7339227933963262</v>
      </c>
      <c r="H18" s="44">
        <f>QUARTILE(Q18:EC18,2)</f>
        <v>3.275</v>
      </c>
      <c r="I18" s="44">
        <f>MIN(Q18:EC18)</f>
        <v>2.74</v>
      </c>
      <c r="J18" s="44">
        <f>MAX(Q18:EC18)</f>
        <v>4.688</v>
      </c>
      <c r="K18" s="44">
        <f>PERCENTILE(Q18:EC18,0.95)</f>
        <v>4.545999999999999</v>
      </c>
      <c r="L18" s="105" t="str">
        <f>IF(H18&gt;6,"A",IF(H18&gt;5,"B",IF(H18&gt;4,"C",IF(H18&gt;3,"D","E"))))</f>
        <v>D</v>
      </c>
      <c r="N18" s="116" t="s">
        <v>18</v>
      </c>
      <c r="O18" s="108"/>
      <c r="P18" t="s">
        <v>18</v>
      </c>
      <c r="Q18">
        <v>3.03</v>
      </c>
      <c r="U18">
        <v>3.29</v>
      </c>
      <c r="X18">
        <v>3.26</v>
      </c>
      <c r="AB18">
        <v>2.74</v>
      </c>
      <c r="AF18">
        <v>4.12</v>
      </c>
      <c r="AJ18">
        <v>4.688</v>
      </c>
    </row>
    <row r="19" spans="2:36" ht="12.75">
      <c r="B19" s="71" t="s">
        <v>106</v>
      </c>
      <c r="C19" s="7" t="s">
        <v>19</v>
      </c>
      <c r="D19" s="86">
        <f>COUNT(Q19:EC19)</f>
        <v>6</v>
      </c>
      <c r="E19" s="113">
        <f>AVERAGE(Q19:EC19)</f>
        <v>6.0355</v>
      </c>
      <c r="F19" s="113">
        <f>CONFIDENCE(0.05,G19,D19)</f>
        <v>3.2446832803287977</v>
      </c>
      <c r="G19" s="113">
        <f>STDEV(Q19:EC19)</f>
        <v>4.055083907886493</v>
      </c>
      <c r="H19" s="113">
        <f>QUARTILE(Q19:EC19,2)</f>
        <v>7.140000000000001</v>
      </c>
      <c r="I19" s="113">
        <f>MIN(Q19:EC19)</f>
        <v>0</v>
      </c>
      <c r="J19" s="113">
        <f>MAX(Q19:EC19)</f>
        <v>9.9</v>
      </c>
      <c r="K19" s="113">
        <f>PERCENTILE(Q19:EC19,0.95)</f>
        <v>9.85</v>
      </c>
      <c r="L19" s="102" t="str">
        <f>IF(H19&gt;8,"A",IF(H19&gt;6,"B",IF(H19&gt;4,"C",IF(H19&gt;2,"D","E"))))</f>
        <v>B</v>
      </c>
      <c r="N19" s="116" t="s">
        <v>96</v>
      </c>
      <c r="O19" s="108"/>
      <c r="P19" t="s">
        <v>96</v>
      </c>
      <c r="R19">
        <v>7.94</v>
      </c>
      <c r="S19">
        <v>6.34</v>
      </c>
      <c r="X19">
        <v>0</v>
      </c>
      <c r="AB19">
        <v>9.7</v>
      </c>
      <c r="AF19">
        <v>9.9</v>
      </c>
      <c r="AJ19">
        <v>2.333</v>
      </c>
    </row>
    <row r="20" spans="2:36" ht="13.5" thickBot="1">
      <c r="B20" s="72"/>
      <c r="C20" s="97" t="s">
        <v>122</v>
      </c>
      <c r="D20" s="87">
        <f>COUNT(Q20:EC20)</f>
        <v>4</v>
      </c>
      <c r="E20" s="114">
        <f>AVERAGE(Q20:EC20)</f>
        <v>2.125</v>
      </c>
      <c r="F20" s="114">
        <f>CONFIDENCE(0.05,G20,D20)</f>
        <v>2.9228828844891375</v>
      </c>
      <c r="G20" s="114">
        <f>STDEV(Q20:EC20)</f>
        <v>2.9825883613622137</v>
      </c>
      <c r="H20" s="114">
        <f>QUARTILE(Q20:EC20,2)</f>
        <v>1</v>
      </c>
      <c r="I20" s="114">
        <f>MIN(Q20:EC20)</f>
        <v>0</v>
      </c>
      <c r="J20" s="114">
        <f>MAX(Q20:EC20)</f>
        <v>6.5</v>
      </c>
      <c r="K20" s="114">
        <f>PERCENTILE(Q20:EC20,0.95)</f>
        <v>5.749999999999998</v>
      </c>
      <c r="L20" s="105"/>
      <c r="N20" s="116" t="s">
        <v>97</v>
      </c>
      <c r="O20" s="108"/>
      <c r="P20" t="s">
        <v>97</v>
      </c>
      <c r="X20">
        <v>0</v>
      </c>
      <c r="AB20">
        <v>1.5</v>
      </c>
      <c r="AF20">
        <v>0.5</v>
      </c>
      <c r="AJ20">
        <v>6.5</v>
      </c>
    </row>
    <row r="21" spans="2:15" ht="12.75">
      <c r="B21" s="80"/>
      <c r="C21" s="89"/>
      <c r="D21" s="89"/>
      <c r="E21" s="89"/>
      <c r="F21" s="89"/>
      <c r="G21" s="89"/>
      <c r="H21" s="89"/>
      <c r="I21" s="89"/>
      <c r="J21" s="89"/>
      <c r="K21" s="89"/>
      <c r="L21" s="100"/>
      <c r="O21" s="108"/>
    </row>
    <row r="22" spans="2:15" ht="12.75">
      <c r="B22" s="210" t="s">
        <v>119</v>
      </c>
      <c r="C22" s="211"/>
      <c r="D22" s="211"/>
      <c r="E22" s="211"/>
      <c r="F22" s="211"/>
      <c r="G22" s="76" t="str">
        <f>'Combined Score Calcs'!L10</f>
        <v>D</v>
      </c>
      <c r="H22" s="39"/>
      <c r="I22" s="39"/>
      <c r="J22" s="39"/>
      <c r="K22" s="99"/>
      <c r="L22" s="90"/>
      <c r="N22" s="111"/>
      <c r="O22" s="108"/>
    </row>
    <row r="23" spans="2:15" ht="13.5" thickBot="1">
      <c r="B23" s="83"/>
      <c r="C23" s="84"/>
      <c r="D23" s="84"/>
      <c r="E23" s="84"/>
      <c r="F23" s="84"/>
      <c r="G23" s="84"/>
      <c r="H23" s="84"/>
      <c r="I23" s="84"/>
      <c r="J23" s="84"/>
      <c r="K23" s="84"/>
      <c r="L23" s="91"/>
      <c r="N23" s="111"/>
      <c r="O23" s="108"/>
    </row>
    <row r="24" spans="12:15" ht="12.75">
      <c r="L24" s="60"/>
      <c r="N24" s="111"/>
      <c r="O24" s="108"/>
    </row>
    <row r="25" spans="12:15" ht="12.75">
      <c r="L25" s="60"/>
      <c r="O25" s="108"/>
    </row>
    <row r="26" spans="12:15" ht="12.75">
      <c r="L26" s="60"/>
      <c r="O26" s="108"/>
    </row>
    <row r="27" spans="12:15" ht="12.75">
      <c r="L27" s="60"/>
      <c r="O27" s="108"/>
    </row>
    <row r="28" spans="12:15" ht="12.75">
      <c r="L28" s="60"/>
      <c r="O28" s="108"/>
    </row>
    <row r="29" spans="12:15" ht="12.75">
      <c r="L29" s="60"/>
      <c r="O29" s="108"/>
    </row>
    <row r="30" ht="12.75">
      <c r="L30" s="60"/>
    </row>
    <row r="31" ht="12.75">
      <c r="L31" s="60"/>
    </row>
    <row r="32" ht="12.75">
      <c r="L32" s="60"/>
    </row>
    <row r="33" ht="12.75">
      <c r="L33" s="60"/>
    </row>
    <row r="34" ht="12.75">
      <c r="L34" s="60"/>
    </row>
    <row r="35" ht="12.75">
      <c r="L35" s="60"/>
    </row>
    <row r="36" ht="12.75">
      <c r="L36" s="60"/>
    </row>
    <row r="37" ht="12.75">
      <c r="L37" s="60"/>
    </row>
    <row r="38" ht="12.75">
      <c r="L38" s="60"/>
    </row>
    <row r="39" ht="12.75">
      <c r="L39" s="60"/>
    </row>
    <row r="40" ht="12.75">
      <c r="L40" s="60"/>
    </row>
    <row r="41" ht="12.75">
      <c r="L41" s="60"/>
    </row>
    <row r="42" ht="12.75">
      <c r="L42" s="60"/>
    </row>
  </sheetData>
  <mergeCells count="1">
    <mergeCell ref="B22:F22"/>
  </mergeCells>
  <printOptions/>
  <pageMargins left="0.75" right="0.75" top="1" bottom="1" header="0.5" footer="0.5"/>
  <pageSetup horizontalDpi="600" verticalDpi="600" orientation="portrait" paperSize="133" r:id="rId1"/>
</worksheet>
</file>

<file path=xl/worksheets/sheet22.xml><?xml version="1.0" encoding="utf-8"?>
<worksheet xmlns="http://schemas.openxmlformats.org/spreadsheetml/2006/main" xmlns:r="http://schemas.openxmlformats.org/officeDocument/2006/relationships">
  <dimension ref="B1:AQ73"/>
  <sheetViews>
    <sheetView workbookViewId="0" topLeftCell="A1">
      <selection activeCell="B3" sqref="B3:L46"/>
    </sheetView>
  </sheetViews>
  <sheetFormatPr defaultColWidth="9.140625" defaultRowHeight="12.75"/>
  <cols>
    <col min="3" max="3" width="28.7109375" style="0" bestFit="1" customWidth="1"/>
    <col min="14" max="14" width="34.140625" style="0" customWidth="1"/>
    <col min="16" max="16" width="33.57421875" style="0" customWidth="1"/>
  </cols>
  <sheetData>
    <row r="1" spans="2:15" ht="15.75">
      <c r="B1" s="107" t="s">
        <v>144</v>
      </c>
      <c r="O1" s="109" t="s">
        <v>125</v>
      </c>
    </row>
    <row r="2" spans="12:39" ht="13.5" thickBot="1">
      <c r="L2" s="60"/>
      <c r="N2" s="116" t="s">
        <v>84</v>
      </c>
      <c r="O2" s="110"/>
      <c r="P2" t="s">
        <v>84</v>
      </c>
      <c r="Q2" t="s">
        <v>49</v>
      </c>
      <c r="R2" t="s">
        <v>49</v>
      </c>
      <c r="S2" t="s">
        <v>49</v>
      </c>
      <c r="T2" t="s">
        <v>49</v>
      </c>
      <c r="U2" t="s">
        <v>49</v>
      </c>
      <c r="V2" t="s">
        <v>49</v>
      </c>
      <c r="W2" t="s">
        <v>49</v>
      </c>
      <c r="X2" t="s">
        <v>49</v>
      </c>
      <c r="Y2" t="s">
        <v>49</v>
      </c>
      <c r="Z2" t="s">
        <v>49</v>
      </c>
      <c r="AA2" t="s">
        <v>49</v>
      </c>
      <c r="AB2" t="s">
        <v>49</v>
      </c>
      <c r="AC2" t="s">
        <v>49</v>
      </c>
      <c r="AD2" t="s">
        <v>49</v>
      </c>
      <c r="AE2" t="s">
        <v>49</v>
      </c>
      <c r="AF2" t="s">
        <v>49</v>
      </c>
      <c r="AG2" t="s">
        <v>49</v>
      </c>
      <c r="AH2" t="s">
        <v>49</v>
      </c>
      <c r="AI2" t="s">
        <v>49</v>
      </c>
      <c r="AJ2" t="s">
        <v>49</v>
      </c>
      <c r="AK2" t="s">
        <v>49</v>
      </c>
      <c r="AL2" t="s">
        <v>49</v>
      </c>
      <c r="AM2" t="s">
        <v>49</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36831.68263888889</v>
      </c>
      <c r="R3" s="64">
        <v>36917.53125</v>
      </c>
      <c r="S3" s="64">
        <v>37011.583333333336</v>
      </c>
      <c r="T3" s="64">
        <v>37106.57638888889</v>
      </c>
      <c r="U3" s="64">
        <v>37221.586805555555</v>
      </c>
      <c r="V3" s="64">
        <v>37383.461805555555</v>
      </c>
      <c r="W3" s="64">
        <v>37474.444444444445</v>
      </c>
      <c r="X3" s="64">
        <v>37585.541666666664</v>
      </c>
      <c r="Y3" s="64">
        <v>37648.47222222222</v>
      </c>
      <c r="Z3" s="64">
        <v>37746.47222222222</v>
      </c>
      <c r="AA3" s="64">
        <v>37837.458333333336</v>
      </c>
      <c r="AB3" s="64">
        <v>37949.604166666664</v>
      </c>
      <c r="AC3" s="64">
        <v>38027.46527777778</v>
      </c>
      <c r="AD3" s="64">
        <v>38111.45138888889</v>
      </c>
      <c r="AE3" s="64">
        <v>38202.42013888889</v>
      </c>
      <c r="AF3" s="64">
        <v>38335.552083333336</v>
      </c>
      <c r="AG3" s="64">
        <v>38393.40972222222</v>
      </c>
      <c r="AH3" s="64">
        <v>38477.45625</v>
      </c>
      <c r="AI3" s="64">
        <v>38593.45694444444</v>
      </c>
      <c r="AJ3" s="64">
        <v>38679.61111111111</v>
      </c>
      <c r="AK3" s="64">
        <v>38776.45277777778</v>
      </c>
      <c r="AL3" s="64">
        <v>38869.416666666664</v>
      </c>
      <c r="AM3" s="64">
        <v>38960.42847222222</v>
      </c>
      <c r="AO3" s="64"/>
      <c r="AP3" s="64"/>
      <c r="AQ3" s="64"/>
    </row>
    <row r="4" spans="2:39" ht="12.75">
      <c r="B4" s="68" t="s">
        <v>103</v>
      </c>
      <c r="C4" s="93" t="s">
        <v>4</v>
      </c>
      <c r="D4" s="81">
        <f>COUNT(Q4:EC4)</f>
        <v>20</v>
      </c>
      <c r="E4" s="82">
        <f>AVERAGE(Q4:EC4)</f>
        <v>0.42745000000000005</v>
      </c>
      <c r="F4" s="82">
        <f aca="true" t="shared" si="0" ref="F4:F15">CONFIDENCE(0.05,G4,D4)</f>
        <v>0.10952521855461975</v>
      </c>
      <c r="G4" s="82">
        <f>STDEV(Q4:EC4)</f>
        <v>0.24990850430970876</v>
      </c>
      <c r="H4" s="82">
        <f>QUARTILE(Q4:EC4,2)</f>
        <v>0.36</v>
      </c>
      <c r="I4" s="82">
        <f>MIN(Q4:EC4)</f>
        <v>0.099</v>
      </c>
      <c r="J4" s="82">
        <f>MAX(Q4:EC4)</f>
        <v>1.2</v>
      </c>
      <c r="K4" s="82">
        <f>PERCENTILE(Q4:EC4,0.95)</f>
        <v>0.9055000000000002</v>
      </c>
      <c r="L4" s="102" t="str">
        <f>IF((H4+H5)&lt;0.08,"A",IF((H4+H5)&lt;0.12,"B",IF((H4+H5)&lt;0.295,"C",IF((H4+H5)&lt;0.444,"D","E"))))</f>
        <v>D</v>
      </c>
      <c r="N4" s="116" t="s">
        <v>86</v>
      </c>
      <c r="O4" s="108"/>
      <c r="P4" t="s">
        <v>86</v>
      </c>
      <c r="R4">
        <v>0.38</v>
      </c>
      <c r="S4">
        <v>0.21</v>
      </c>
      <c r="V4">
        <v>0.41</v>
      </c>
      <c r="W4">
        <v>0.49</v>
      </c>
      <c r="X4">
        <v>0.4</v>
      </c>
      <c r="Y4">
        <v>0.26</v>
      </c>
      <c r="Z4">
        <v>0.24</v>
      </c>
      <c r="AA4">
        <v>0.35</v>
      </c>
      <c r="AB4">
        <v>0.35</v>
      </c>
      <c r="AC4">
        <v>0.33</v>
      </c>
      <c r="AD4">
        <v>0.57</v>
      </c>
      <c r="AE4">
        <v>1.2</v>
      </c>
      <c r="AF4">
        <v>0.5</v>
      </c>
      <c r="AG4">
        <v>0.37</v>
      </c>
      <c r="AH4">
        <v>0.31</v>
      </c>
      <c r="AI4">
        <v>0.62</v>
      </c>
      <c r="AJ4">
        <v>0.35</v>
      </c>
      <c r="AK4">
        <v>0.099</v>
      </c>
      <c r="AL4">
        <v>0.89</v>
      </c>
      <c r="AM4">
        <v>0.22</v>
      </c>
    </row>
    <row r="5" spans="2:39" ht="12.75">
      <c r="B5" s="69"/>
      <c r="C5" s="5" t="s">
        <v>5</v>
      </c>
      <c r="D5" s="73">
        <f>COUNT(Q5:EC5)</f>
        <v>18</v>
      </c>
      <c r="E5" s="112">
        <f>AVERAGE(Q5:EC5)</f>
        <v>0.011111111111111113</v>
      </c>
      <c r="F5" s="112">
        <f t="shared" si="0"/>
        <v>0.0030802391527818434</v>
      </c>
      <c r="G5" s="112">
        <f>STDEV(Q5:EC5)</f>
        <v>0.006667646986746463</v>
      </c>
      <c r="H5" s="112">
        <f>QUARTILE(Q5:EC5,2)</f>
        <v>0.009</v>
      </c>
      <c r="I5" s="112">
        <f>MIN(Q5:EC5)</f>
        <v>0.005</v>
      </c>
      <c r="J5" s="112">
        <f>MAX(Q5:EC5)</f>
        <v>0.024</v>
      </c>
      <c r="K5" s="112">
        <f>PERCENTILE(Q5:EC5,0.95)</f>
        <v>0.022299999999999997</v>
      </c>
      <c r="L5" s="102"/>
      <c r="N5" s="116" t="s">
        <v>87</v>
      </c>
      <c r="O5" s="108"/>
      <c r="P5" t="s">
        <v>87</v>
      </c>
      <c r="V5">
        <v>0.006</v>
      </c>
      <c r="W5">
        <v>0.012</v>
      </c>
      <c r="X5">
        <v>0.014</v>
      </c>
      <c r="Y5">
        <v>0.009</v>
      </c>
      <c r="Z5">
        <v>0.012</v>
      </c>
      <c r="AA5">
        <v>0.02</v>
      </c>
      <c r="AB5">
        <v>0.022</v>
      </c>
      <c r="AC5">
        <v>0.014</v>
      </c>
      <c r="AD5">
        <v>0.007</v>
      </c>
      <c r="AE5">
        <v>0.021</v>
      </c>
      <c r="AF5">
        <v>0.005</v>
      </c>
      <c r="AG5">
        <v>0.005</v>
      </c>
      <c r="AH5">
        <v>0.005</v>
      </c>
      <c r="AI5">
        <v>0.005</v>
      </c>
      <c r="AJ5">
        <v>0.009</v>
      </c>
      <c r="AK5">
        <v>0.005</v>
      </c>
      <c r="AL5">
        <v>0.024</v>
      </c>
      <c r="AM5">
        <v>0.005</v>
      </c>
    </row>
    <row r="6" spans="2:39" ht="12.75">
      <c r="B6" s="70"/>
      <c r="C6" s="94" t="s">
        <v>6</v>
      </c>
      <c r="D6" s="73">
        <f>COUNT(Q6:EC6)</f>
        <v>23</v>
      </c>
      <c r="E6" s="112">
        <f>AVERAGE(Q6:EC6)</f>
        <v>0.010695652173913045</v>
      </c>
      <c r="F6" s="112">
        <f t="shared" si="0"/>
        <v>0.0016551904076038217</v>
      </c>
      <c r="G6" s="112">
        <f>STDEV(Q6:EC6)</f>
        <v>0.004050081734401898</v>
      </c>
      <c r="H6" s="112">
        <f>QUARTILE(Q6:EC6,2)</f>
        <v>0.01</v>
      </c>
      <c r="I6" s="112">
        <f>MIN(Q6:EC6)</f>
        <v>0.006</v>
      </c>
      <c r="J6" s="112">
        <f>MAX(Q6:EC6)</f>
        <v>0.023</v>
      </c>
      <c r="K6" s="112">
        <f>PERCENTILE(Q6:EC6,0.95)</f>
        <v>0.015899999999999997</v>
      </c>
      <c r="L6" s="102" t="str">
        <f>IF((H6)&lt;0.005,"A",IF((H6)&lt;0.008,"B",IF((H6)&lt;0.026,"C",IF((H6)&lt;0.05,"D","E"))))</f>
        <v>C</v>
      </c>
      <c r="N6" s="116" t="s">
        <v>88</v>
      </c>
      <c r="O6" s="108"/>
      <c r="P6" t="s">
        <v>88</v>
      </c>
      <c r="Q6">
        <v>0.009</v>
      </c>
      <c r="R6">
        <v>0.015</v>
      </c>
      <c r="S6">
        <v>0.006</v>
      </c>
      <c r="T6">
        <v>0.009</v>
      </c>
      <c r="U6">
        <v>0.012</v>
      </c>
      <c r="V6">
        <v>0.01</v>
      </c>
      <c r="W6">
        <v>0.006</v>
      </c>
      <c r="X6">
        <v>0.01</v>
      </c>
      <c r="Y6">
        <v>0.013</v>
      </c>
      <c r="Z6">
        <v>0.009</v>
      </c>
      <c r="AA6">
        <v>0.015</v>
      </c>
      <c r="AB6">
        <v>0.023</v>
      </c>
      <c r="AC6">
        <v>0.013</v>
      </c>
      <c r="AD6">
        <v>0.011</v>
      </c>
      <c r="AE6">
        <v>0.009</v>
      </c>
      <c r="AF6">
        <v>0.008</v>
      </c>
      <c r="AG6">
        <v>0.01</v>
      </c>
      <c r="AH6">
        <v>0.007</v>
      </c>
      <c r="AI6">
        <v>0.007</v>
      </c>
      <c r="AJ6">
        <v>0.016</v>
      </c>
      <c r="AK6">
        <v>0.008</v>
      </c>
      <c r="AL6">
        <v>0.014</v>
      </c>
      <c r="AM6">
        <v>0.006</v>
      </c>
    </row>
    <row r="7" spans="2:39" ht="12.75">
      <c r="B7" s="71" t="s">
        <v>104</v>
      </c>
      <c r="C7" s="6" t="s">
        <v>7</v>
      </c>
      <c r="D7" s="86">
        <f>COUNT(Q7:EC7)</f>
        <v>22</v>
      </c>
      <c r="E7" s="113">
        <f>AVERAGE(Q7:EC7)</f>
        <v>7.678181818181816</v>
      </c>
      <c r="F7" s="113">
        <f t="shared" si="0"/>
        <v>0.22844407257146493</v>
      </c>
      <c r="G7" s="113">
        <f>STDEV(Q7:EC7)</f>
        <v>0.546692534495166</v>
      </c>
      <c r="H7" s="113">
        <f>QUARTILE(Q7:EC7,2)</f>
        <v>7.645</v>
      </c>
      <c r="I7" s="113">
        <f>MIN(Q7:EC7)</f>
        <v>6.94</v>
      </c>
      <c r="J7" s="113">
        <f>MAX(Q7:EC7)</f>
        <v>9.78</v>
      </c>
      <c r="K7" s="113">
        <f>PERCENTILE(Q7:EC7,0.95)</f>
        <v>8.019</v>
      </c>
      <c r="L7" s="103" t="str">
        <f>IF(AND(7.2&lt;H7,H7&lt;9),"A",IF(AND(7.2&lt;=H7,H7&lt;=9),"B",IF(AND(6.5&lt;=H7,H7&lt;=9),"C",IF(AND(6.5&lt;=H7,H7&lt;=10),"D","E"))))</f>
        <v>A</v>
      </c>
      <c r="N7" s="116" t="s">
        <v>89</v>
      </c>
      <c r="O7" s="108"/>
      <c r="P7" t="s">
        <v>89</v>
      </c>
      <c r="Q7">
        <v>7.62</v>
      </c>
      <c r="R7">
        <v>7.35</v>
      </c>
      <c r="S7">
        <v>8.02</v>
      </c>
      <c r="U7">
        <v>9.78</v>
      </c>
      <c r="V7">
        <v>7.3</v>
      </c>
      <c r="W7">
        <v>7.89</v>
      </c>
      <c r="X7">
        <v>7.68</v>
      </c>
      <c r="Y7">
        <v>7.66</v>
      </c>
      <c r="Z7">
        <v>7.71</v>
      </c>
      <c r="AA7">
        <v>7.72</v>
      </c>
      <c r="AB7">
        <v>7.71</v>
      </c>
      <c r="AC7">
        <v>7.63</v>
      </c>
      <c r="AD7">
        <v>7.23</v>
      </c>
      <c r="AE7">
        <v>7.43</v>
      </c>
      <c r="AF7">
        <v>7.66</v>
      </c>
      <c r="AG7">
        <v>7.56</v>
      </c>
      <c r="AH7">
        <v>7.42</v>
      </c>
      <c r="AI7">
        <v>7.6</v>
      </c>
      <c r="AJ7">
        <v>7.07</v>
      </c>
      <c r="AK7">
        <v>6.94</v>
      </c>
      <c r="AL7">
        <v>8</v>
      </c>
      <c r="AM7">
        <v>7.94</v>
      </c>
    </row>
    <row r="8" spans="2:39" ht="12.75">
      <c r="B8" s="71"/>
      <c r="C8" s="6" t="s">
        <v>8</v>
      </c>
      <c r="D8" s="81">
        <f>COUNT(Q8:EC8)</f>
        <v>23</v>
      </c>
      <c r="E8" s="44">
        <f>AVERAGE(Q8:EC8)</f>
        <v>14.233043478260873</v>
      </c>
      <c r="F8" s="44">
        <f t="shared" si="0"/>
        <v>1.3451571340907613</v>
      </c>
      <c r="G8" s="44">
        <f>STDEV(Q8:EC8)</f>
        <v>3.291462005611987</v>
      </c>
      <c r="H8" s="44">
        <f>QUARTILE(Q8:EC8,2)</f>
        <v>15.2</v>
      </c>
      <c r="I8" s="44">
        <f>MIN(Q8:EC8)</f>
        <v>7</v>
      </c>
      <c r="J8" s="44">
        <f>MAX(Q8:EC8)</f>
        <v>18.8</v>
      </c>
      <c r="K8" s="44">
        <f>PERCENTILE(Q8:EC8,0.95)</f>
        <v>17.962</v>
      </c>
      <c r="L8" s="102" t="str">
        <f>IF(H8&lt;18,"A",IF(H8&lt;20,"B",IF(H8&lt;22,"C",IF(H8&lt;25,"D","E"))))</f>
        <v>A</v>
      </c>
      <c r="N8" s="116" t="s">
        <v>90</v>
      </c>
      <c r="O8" s="108"/>
      <c r="P8" t="s">
        <v>90</v>
      </c>
      <c r="Q8">
        <v>15.2</v>
      </c>
      <c r="R8">
        <v>17.3</v>
      </c>
      <c r="S8">
        <v>15.2</v>
      </c>
      <c r="T8">
        <v>12.4</v>
      </c>
      <c r="U8">
        <v>16.69</v>
      </c>
      <c r="V8">
        <v>14.38</v>
      </c>
      <c r="W8">
        <v>9.8</v>
      </c>
      <c r="X8">
        <v>16.5</v>
      </c>
      <c r="Y8">
        <v>16.3</v>
      </c>
      <c r="Z8">
        <v>12.5</v>
      </c>
      <c r="AA8">
        <v>10.5</v>
      </c>
      <c r="AB8">
        <v>18.8</v>
      </c>
      <c r="AC8">
        <v>17.7</v>
      </c>
      <c r="AD8">
        <v>12.8</v>
      </c>
      <c r="AE8">
        <v>7</v>
      </c>
      <c r="AF8">
        <v>17.8</v>
      </c>
      <c r="AG8">
        <v>17.7</v>
      </c>
      <c r="AH8">
        <v>14</v>
      </c>
      <c r="AI8">
        <v>10.78</v>
      </c>
      <c r="AJ8">
        <v>17.98</v>
      </c>
      <c r="AK8">
        <v>15.54</v>
      </c>
      <c r="AL8">
        <v>10.49</v>
      </c>
      <c r="AM8">
        <v>10</v>
      </c>
    </row>
    <row r="9" spans="2:39" ht="12.75">
      <c r="B9" s="71"/>
      <c r="C9" s="7" t="s">
        <v>9</v>
      </c>
      <c r="D9" s="81">
        <f>COUNT(Q9:EC9)</f>
        <v>23</v>
      </c>
      <c r="E9" s="44">
        <f>AVERAGE(Q9:EC9)</f>
        <v>98.07826086956524</v>
      </c>
      <c r="F9" s="44">
        <f t="shared" si="0"/>
        <v>4.721681020917833</v>
      </c>
      <c r="G9" s="44">
        <f>STDEV(Q9:EC9)</f>
        <v>11.553470809546074</v>
      </c>
      <c r="H9" s="44">
        <f>QUARTILE(Q9:EC9,2)</f>
        <v>96.8</v>
      </c>
      <c r="I9" s="44">
        <f>MIN(Q9:EC9)</f>
        <v>72.4</v>
      </c>
      <c r="J9" s="44">
        <f>MAX(Q9:EC9)</f>
        <v>120.9</v>
      </c>
      <c r="K9" s="44">
        <f>PERCENTILE(Q9:EC9,0.95)</f>
        <v>118.5</v>
      </c>
      <c r="L9" s="104" t="str">
        <f>IF(AND(99&lt;=H9,H9&lt;=103),"A",IF(AND(98&lt;=H9,H9&lt;=105),"B",IF(H9&gt;90,"C",IF(H9&gt;80,"D","E"))))</f>
        <v>C</v>
      </c>
      <c r="N9" s="116" t="s">
        <v>91</v>
      </c>
      <c r="O9" s="108"/>
      <c r="P9" t="s">
        <v>91</v>
      </c>
      <c r="Q9">
        <v>91.5</v>
      </c>
      <c r="R9">
        <v>72.4</v>
      </c>
      <c r="S9">
        <v>77.1</v>
      </c>
      <c r="T9">
        <v>96.4</v>
      </c>
      <c r="U9">
        <v>100.9</v>
      </c>
      <c r="V9">
        <v>92</v>
      </c>
      <c r="W9">
        <v>104.5</v>
      </c>
      <c r="X9">
        <v>102.2</v>
      </c>
      <c r="Y9">
        <v>96.8</v>
      </c>
      <c r="Z9">
        <v>88.7</v>
      </c>
      <c r="AA9">
        <v>105.9</v>
      </c>
      <c r="AB9">
        <v>110.4</v>
      </c>
      <c r="AC9">
        <v>106.8</v>
      </c>
      <c r="AD9">
        <v>95.4</v>
      </c>
      <c r="AE9">
        <v>98.7</v>
      </c>
      <c r="AF9">
        <v>120.9</v>
      </c>
      <c r="AG9">
        <v>105.3</v>
      </c>
      <c r="AH9">
        <v>90.7</v>
      </c>
      <c r="AI9">
        <v>119.4</v>
      </c>
      <c r="AJ9">
        <v>94.9</v>
      </c>
      <c r="AK9">
        <v>85.4</v>
      </c>
      <c r="AL9">
        <v>95.1</v>
      </c>
      <c r="AM9">
        <v>104.4</v>
      </c>
    </row>
    <row r="10" spans="2:39" ht="12.75">
      <c r="B10" s="71"/>
      <c r="C10" s="6" t="s">
        <v>10</v>
      </c>
      <c r="D10" s="81">
        <f>COUNT(Q10:EC10)</f>
        <v>23</v>
      </c>
      <c r="E10" s="44">
        <f>AVERAGE(Q10:EC10)</f>
        <v>10.060434782608693</v>
      </c>
      <c r="F10" s="44">
        <f t="shared" si="0"/>
        <v>0.5879058822890819</v>
      </c>
      <c r="G10" s="44">
        <f>STDEV(Q10:EC10)</f>
        <v>1.4385455984205797</v>
      </c>
      <c r="H10" s="44">
        <f>QUARTILE(Q10:EC10,2)</f>
        <v>10.01</v>
      </c>
      <c r="I10" s="44">
        <f>MIN(Q10:EC10)</f>
        <v>6.93</v>
      </c>
      <c r="J10" s="44">
        <f>MAX(Q10:EC10)</f>
        <v>13.23</v>
      </c>
      <c r="K10" s="44">
        <f>PERCENTILE(Q10:EC10,0.95)</f>
        <v>11.965</v>
      </c>
      <c r="L10" s="102"/>
      <c r="N10" s="116" t="s">
        <v>92</v>
      </c>
      <c r="O10" s="108"/>
      <c r="P10" t="s">
        <v>92</v>
      </c>
      <c r="Q10">
        <v>9.15</v>
      </c>
      <c r="R10">
        <v>6.93</v>
      </c>
      <c r="S10">
        <v>7.64</v>
      </c>
      <c r="T10">
        <v>10.33</v>
      </c>
      <c r="U10">
        <v>9.8</v>
      </c>
      <c r="V10">
        <v>9.39</v>
      </c>
      <c r="W10">
        <v>11.83</v>
      </c>
      <c r="X10">
        <v>9.97</v>
      </c>
      <c r="Y10">
        <v>9.48</v>
      </c>
      <c r="Z10">
        <v>9.43</v>
      </c>
      <c r="AA10">
        <v>11.18</v>
      </c>
      <c r="AB10">
        <v>10.24</v>
      </c>
      <c r="AC10">
        <v>10.17</v>
      </c>
      <c r="AD10">
        <v>10.09</v>
      </c>
      <c r="AE10">
        <v>11.98</v>
      </c>
      <c r="AF10">
        <v>11.47</v>
      </c>
      <c r="AG10">
        <v>10.01</v>
      </c>
      <c r="AH10">
        <v>9.25</v>
      </c>
      <c r="AI10">
        <v>13.23</v>
      </c>
      <c r="AJ10">
        <v>8.97</v>
      </c>
      <c r="AK10">
        <v>8.48</v>
      </c>
      <c r="AL10">
        <v>10.6</v>
      </c>
      <c r="AM10">
        <v>11.77</v>
      </c>
    </row>
    <row r="11" spans="2:39" ht="12.75">
      <c r="B11" s="72"/>
      <c r="C11" s="95" t="s">
        <v>11</v>
      </c>
      <c r="D11" s="87">
        <f>COUNT(Q11:EC11)</f>
        <v>23</v>
      </c>
      <c r="E11" s="115">
        <f>AVERAGE(Q11:EC11)</f>
        <v>513.6217391304348</v>
      </c>
      <c r="F11" s="115">
        <f t="shared" si="0"/>
        <v>24.295148939151737</v>
      </c>
      <c r="G11" s="115">
        <f>STDEV(Q11:EC11)</f>
        <v>59.447746012182066</v>
      </c>
      <c r="H11" s="115">
        <f>QUARTILE(Q11:EC11,2)</f>
        <v>538</v>
      </c>
      <c r="I11" s="115">
        <f>MIN(Q11:EC11)</f>
        <v>394</v>
      </c>
      <c r="J11" s="115">
        <f>MAX(Q11:EC11)</f>
        <v>582</v>
      </c>
      <c r="K11" s="115">
        <f>PERCENTILE(Q11:EC11,0.95)</f>
        <v>577</v>
      </c>
      <c r="L11" s="105"/>
      <c r="N11" s="116" t="s">
        <v>93</v>
      </c>
      <c r="O11" s="108"/>
      <c r="P11" t="s">
        <v>93</v>
      </c>
      <c r="Q11">
        <v>562</v>
      </c>
      <c r="R11">
        <v>457.2</v>
      </c>
      <c r="S11">
        <v>485.5</v>
      </c>
      <c r="T11">
        <v>445.6</v>
      </c>
      <c r="U11">
        <v>397</v>
      </c>
      <c r="V11">
        <v>582</v>
      </c>
      <c r="W11">
        <v>546</v>
      </c>
      <c r="X11">
        <v>552</v>
      </c>
      <c r="Y11">
        <v>566</v>
      </c>
      <c r="Z11">
        <v>545</v>
      </c>
      <c r="AA11">
        <v>577</v>
      </c>
      <c r="AB11">
        <v>556</v>
      </c>
      <c r="AC11">
        <v>577</v>
      </c>
      <c r="AD11">
        <v>394</v>
      </c>
      <c r="AE11">
        <v>427</v>
      </c>
      <c r="AF11">
        <v>564</v>
      </c>
      <c r="AG11">
        <v>546</v>
      </c>
      <c r="AH11">
        <v>528</v>
      </c>
      <c r="AI11">
        <v>493</v>
      </c>
      <c r="AJ11">
        <v>438</v>
      </c>
      <c r="AK11">
        <v>524</v>
      </c>
      <c r="AL11">
        <v>538</v>
      </c>
      <c r="AM11">
        <v>513</v>
      </c>
    </row>
    <row r="12" spans="2:39" ht="12.75">
      <c r="B12" s="68" t="s">
        <v>105</v>
      </c>
      <c r="C12" s="4" t="s">
        <v>12</v>
      </c>
      <c r="D12" s="81">
        <f>COUNT(Q12:EC12)</f>
        <v>23</v>
      </c>
      <c r="E12" s="82">
        <f>AVERAGE(Q12:EC12)</f>
        <v>8.106521739130434</v>
      </c>
      <c r="F12" s="82">
        <f t="shared" si="0"/>
        <v>6.510196711305734</v>
      </c>
      <c r="G12" s="82">
        <f>STDEV(Q12:EC12)</f>
        <v>15.929785882455219</v>
      </c>
      <c r="H12" s="82">
        <f>QUARTILE(Q12:EC12,2)</f>
        <v>2.66</v>
      </c>
      <c r="I12" s="82">
        <f>MIN(Q12:EC12)</f>
        <v>1.07</v>
      </c>
      <c r="J12" s="82">
        <f>MAX(Q12:EC12)</f>
        <v>72.3</v>
      </c>
      <c r="K12" s="82">
        <f>PERCENTILE(Q12:EC12,0.95)</f>
        <v>34.24999999999997</v>
      </c>
      <c r="L12" s="102" t="str">
        <f>IF(H12&lt;1,"A",IF(H12&lt;2,"B",IF(H12&lt;3,"C",IF(H12&lt;5,"D","E"))))</f>
        <v>C</v>
      </c>
      <c r="N12" s="116" t="s">
        <v>94</v>
      </c>
      <c r="O12" s="108"/>
      <c r="P12" t="s">
        <v>94</v>
      </c>
      <c r="Q12">
        <v>6.11</v>
      </c>
      <c r="R12">
        <v>1.95</v>
      </c>
      <c r="S12">
        <v>1.18</v>
      </c>
      <c r="T12">
        <v>1.43</v>
      </c>
      <c r="U12">
        <v>18.5</v>
      </c>
      <c r="V12">
        <v>1.68</v>
      </c>
      <c r="W12">
        <v>3.05</v>
      </c>
      <c r="X12">
        <v>2.45</v>
      </c>
      <c r="Y12">
        <v>1.68</v>
      </c>
      <c r="Z12">
        <v>2.47</v>
      </c>
      <c r="AA12">
        <v>2.18</v>
      </c>
      <c r="AB12">
        <v>2.09</v>
      </c>
      <c r="AC12">
        <v>6.6</v>
      </c>
      <c r="AD12">
        <v>72.3</v>
      </c>
      <c r="AE12">
        <v>36</v>
      </c>
      <c r="AF12">
        <v>5.83</v>
      </c>
      <c r="AG12">
        <v>2.58</v>
      </c>
      <c r="AH12">
        <v>1.07</v>
      </c>
      <c r="AI12">
        <v>3.68</v>
      </c>
      <c r="AJ12">
        <v>3.17</v>
      </c>
      <c r="AK12">
        <v>2.66</v>
      </c>
      <c r="AL12">
        <v>4.76</v>
      </c>
      <c r="AM12">
        <v>3.03</v>
      </c>
    </row>
    <row r="13" spans="2:39" ht="12.75">
      <c r="B13" s="71"/>
      <c r="C13" s="6" t="s">
        <v>13</v>
      </c>
      <c r="D13" s="81">
        <f>COUNT(Q13:EC13)</f>
        <v>23</v>
      </c>
      <c r="E13" s="44">
        <f>AVERAGE(Q13:EC13)</f>
        <v>1.8782608695652172</v>
      </c>
      <c r="F13" s="44">
        <f t="shared" si="0"/>
        <v>0.4193087806547731</v>
      </c>
      <c r="G13" s="44">
        <f>STDEV(Q13:EC13)</f>
        <v>1.0260057246602348</v>
      </c>
      <c r="H13" s="44">
        <f>QUARTILE(Q13:EC13,2)</f>
        <v>2</v>
      </c>
      <c r="I13" s="44">
        <f>MIN(Q13:EC13)</f>
        <v>0.2</v>
      </c>
      <c r="J13" s="44">
        <f>MAX(Q13:EC13)</f>
        <v>3.7</v>
      </c>
      <c r="K13" s="44">
        <f>PERCENTILE(Q13:EC13,0.95)</f>
        <v>3.2899999999999996</v>
      </c>
      <c r="L13" s="102" t="str">
        <f>IF(H13&gt;6,"A",IF(H13&gt;4,"B",IF(H13&gt;2.5,"C",IF(H13&gt;0.6,"D","E"))))</f>
        <v>D</v>
      </c>
      <c r="N13" s="116" t="s">
        <v>13</v>
      </c>
      <c r="O13" s="108"/>
      <c r="P13" t="s">
        <v>13</v>
      </c>
      <c r="Q13">
        <v>0.95</v>
      </c>
      <c r="R13">
        <v>2.3</v>
      </c>
      <c r="S13">
        <v>3.2</v>
      </c>
      <c r="T13">
        <v>3.3</v>
      </c>
      <c r="U13">
        <v>0.6</v>
      </c>
      <c r="V13">
        <v>0.7</v>
      </c>
      <c r="W13">
        <v>1.8</v>
      </c>
      <c r="X13">
        <v>2.9</v>
      </c>
      <c r="Y13">
        <v>2.8</v>
      </c>
      <c r="Z13">
        <v>3.7</v>
      </c>
      <c r="AA13">
        <v>2.3</v>
      </c>
      <c r="AB13">
        <v>2</v>
      </c>
      <c r="AC13">
        <v>2.9</v>
      </c>
      <c r="AD13">
        <v>0.2</v>
      </c>
      <c r="AE13">
        <v>0.25</v>
      </c>
      <c r="AF13">
        <v>0.65</v>
      </c>
      <c r="AG13">
        <v>2.25</v>
      </c>
      <c r="AH13">
        <v>2.7</v>
      </c>
      <c r="AI13">
        <v>1.7</v>
      </c>
      <c r="AJ13">
        <v>1.3</v>
      </c>
      <c r="AK13">
        <v>1.3</v>
      </c>
      <c r="AL13">
        <v>1.3</v>
      </c>
      <c r="AM13">
        <v>2.1</v>
      </c>
    </row>
    <row r="14" spans="2:39" ht="12.75">
      <c r="B14" s="72"/>
      <c r="C14" s="95" t="s">
        <v>14</v>
      </c>
      <c r="D14" s="87">
        <f>COUNT(Q14:EC14)</f>
        <v>23</v>
      </c>
      <c r="E14" s="115">
        <f>AVERAGE(Q14:EC14)</f>
        <v>6.243478260869565</v>
      </c>
      <c r="F14" s="115">
        <f t="shared" si="0"/>
        <v>4.453696727515331</v>
      </c>
      <c r="G14" s="115">
        <f>STDEV(Q14:EC14)</f>
        <v>10.897740636854149</v>
      </c>
      <c r="H14" s="115">
        <f>QUARTILE(Q14:EC14,2)</f>
        <v>2</v>
      </c>
      <c r="I14" s="115">
        <f>MIN(Q14:EC14)</f>
        <v>0.7</v>
      </c>
      <c r="J14" s="115">
        <f>MAX(Q14:EC14)</f>
        <v>46</v>
      </c>
      <c r="K14" s="115">
        <f>PERCENTILE(Q14:EC14,0.95)</f>
        <v>25.599999999999994</v>
      </c>
      <c r="L14" s="102"/>
      <c r="N14" s="116" t="s">
        <v>95</v>
      </c>
      <c r="O14" s="108"/>
      <c r="P14" t="s">
        <v>95</v>
      </c>
      <c r="Q14">
        <v>5</v>
      </c>
      <c r="R14">
        <v>2</v>
      </c>
      <c r="S14">
        <v>2</v>
      </c>
      <c r="T14">
        <v>1</v>
      </c>
      <c r="U14">
        <v>11</v>
      </c>
      <c r="V14">
        <v>0.7</v>
      </c>
      <c r="W14">
        <v>3</v>
      </c>
      <c r="X14">
        <v>1</v>
      </c>
      <c r="Y14">
        <v>2</v>
      </c>
      <c r="Z14">
        <v>1</v>
      </c>
      <c r="AA14">
        <v>2</v>
      </c>
      <c r="AB14">
        <v>1</v>
      </c>
      <c r="AC14">
        <v>26</v>
      </c>
      <c r="AD14">
        <v>46</v>
      </c>
      <c r="AE14">
        <v>22</v>
      </c>
      <c r="AF14">
        <v>6</v>
      </c>
      <c r="AG14">
        <v>2</v>
      </c>
      <c r="AH14">
        <v>2</v>
      </c>
      <c r="AI14">
        <v>2</v>
      </c>
      <c r="AJ14">
        <v>2</v>
      </c>
      <c r="AK14">
        <v>0.9</v>
      </c>
      <c r="AL14">
        <v>2</v>
      </c>
      <c r="AM14">
        <v>1</v>
      </c>
    </row>
    <row r="15" spans="2:39" ht="12.75">
      <c r="B15" s="208" t="s">
        <v>267</v>
      </c>
      <c r="C15" s="8" t="s">
        <v>268</v>
      </c>
      <c r="D15" s="81">
        <f>COUNT(Q15:EC15)</f>
        <v>23</v>
      </c>
      <c r="E15" s="40">
        <f>AVERAGE(Q15:EC15)</f>
        <v>1063.4782608695652</v>
      </c>
      <c r="F15" s="40">
        <f t="shared" si="0"/>
        <v>556.683886341276</v>
      </c>
      <c r="G15" s="40">
        <f>STDEV(Q15:EC15)</f>
        <v>1362.1485658381835</v>
      </c>
      <c r="H15" s="40">
        <f>QUARTILE(Q15:EC15,2)</f>
        <v>400</v>
      </c>
      <c r="I15" s="40">
        <f>MIN(Q15:EC15)</f>
        <v>5</v>
      </c>
      <c r="J15" s="40">
        <f>MAX(Q15:EC15)</f>
        <v>5400</v>
      </c>
      <c r="K15" s="40">
        <f>PERCENTILE(Q15:EC15,0.95)</f>
        <v>4209.999999999997</v>
      </c>
      <c r="L15" s="106" t="str">
        <f>IF(H15&lt;10,"A",IF(H15&lt;130,"B",IF(H15&lt;260,"C",IF(H15&lt;550,"D","E"))))</f>
        <v>D</v>
      </c>
      <c r="N15" s="116" t="s">
        <v>255</v>
      </c>
      <c r="O15" s="108"/>
      <c r="P15" t="s">
        <v>255</v>
      </c>
      <c r="Q15">
        <v>390</v>
      </c>
      <c r="R15">
        <v>880</v>
      </c>
      <c r="S15">
        <v>110</v>
      </c>
      <c r="T15">
        <v>25</v>
      </c>
      <c r="U15">
        <v>340</v>
      </c>
      <c r="V15">
        <v>80</v>
      </c>
      <c r="W15">
        <v>360</v>
      </c>
      <c r="X15">
        <v>1200</v>
      </c>
      <c r="Y15">
        <v>5</v>
      </c>
      <c r="Z15">
        <v>900</v>
      </c>
      <c r="AA15">
        <v>400</v>
      </c>
      <c r="AB15">
        <v>1300</v>
      </c>
      <c r="AC15">
        <v>360</v>
      </c>
      <c r="AD15">
        <v>800</v>
      </c>
      <c r="AE15">
        <v>400</v>
      </c>
      <c r="AF15">
        <v>1200</v>
      </c>
      <c r="AG15">
        <v>4400</v>
      </c>
      <c r="AH15">
        <v>1600</v>
      </c>
      <c r="AI15">
        <v>2500</v>
      </c>
      <c r="AJ15">
        <v>1300</v>
      </c>
      <c r="AK15">
        <v>360</v>
      </c>
      <c r="AL15">
        <v>5400</v>
      </c>
      <c r="AM15">
        <v>150</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71.58333333333333</v>
      </c>
      <c r="F17" s="44">
        <f>CONFIDENCE(0.05,G17,D17)</f>
        <v>5.8494153811764384</v>
      </c>
      <c r="G17" s="44">
        <f>STDEV(Q17:EC17)</f>
        <v>7.310380747038175</v>
      </c>
      <c r="H17" s="44">
        <f>QUARTILE(Q17:EC17,2)</f>
        <v>73</v>
      </c>
      <c r="I17" s="44">
        <f>MIN(Q17:EC17)</f>
        <v>60</v>
      </c>
      <c r="J17" s="44">
        <f>MAX(Q17:EC17)</f>
        <v>79</v>
      </c>
      <c r="K17" s="44">
        <f>PERCENTILE(Q17:EC17,0.95)</f>
        <v>78.625</v>
      </c>
      <c r="L17" s="102" t="str">
        <f>IF(H17&gt;120,"A",IF(H17&gt;100,"B",IF(H17&gt;80,"C",IF(H17&gt;60,"D","E"))))</f>
        <v>D</v>
      </c>
      <c r="N17" s="116" t="s">
        <v>17</v>
      </c>
      <c r="O17" s="108"/>
      <c r="P17" t="s">
        <v>17</v>
      </c>
      <c r="Q17">
        <v>70</v>
      </c>
      <c r="U17">
        <v>79</v>
      </c>
      <c r="X17">
        <v>76</v>
      </c>
      <c r="AB17">
        <v>60</v>
      </c>
      <c r="AF17">
        <v>67</v>
      </c>
      <c r="AJ17">
        <v>77.5</v>
      </c>
    </row>
    <row r="18" spans="2:36" ht="12.75">
      <c r="B18" s="74"/>
      <c r="C18" s="96" t="s">
        <v>18</v>
      </c>
      <c r="D18" s="81">
        <f>COUNT(Q18:EC18)</f>
        <v>6</v>
      </c>
      <c r="E18" s="44">
        <f>AVERAGE(Q18:EC18)</f>
        <v>3.338333333333333</v>
      </c>
      <c r="F18" s="44">
        <f>CONFIDENCE(0.05,G18,D18)</f>
        <v>0.4118542005556461</v>
      </c>
      <c r="G18" s="44">
        <f>STDEV(Q18:EC18)</f>
        <v>0.5147199886022213</v>
      </c>
      <c r="H18" s="44">
        <f>QUARTILE(Q18:EC18,2)</f>
        <v>3.1900000000000004</v>
      </c>
      <c r="I18" s="44">
        <f>MIN(Q18:EC18)</f>
        <v>2.84</v>
      </c>
      <c r="J18" s="44">
        <f>MAX(Q18:EC18)</f>
        <v>4</v>
      </c>
      <c r="K18" s="44">
        <f>PERCENTILE(Q18:EC18,0.95)</f>
        <v>3.9725</v>
      </c>
      <c r="L18" s="105" t="str">
        <f>IF(H18&gt;6,"A",IF(H18&gt;5,"B",IF(H18&gt;4,"C",IF(H18&gt;3,"D","E"))))</f>
        <v>D</v>
      </c>
      <c r="N18" s="116" t="s">
        <v>18</v>
      </c>
      <c r="O18" s="108"/>
      <c r="P18" t="s">
        <v>18</v>
      </c>
      <c r="Q18">
        <v>2.92</v>
      </c>
      <c r="U18">
        <v>3.89</v>
      </c>
      <c r="X18">
        <v>3.43</v>
      </c>
      <c r="AB18">
        <v>2.84</v>
      </c>
      <c r="AF18">
        <v>4</v>
      </c>
      <c r="AJ18">
        <v>2.95</v>
      </c>
    </row>
    <row r="19" spans="2:36" ht="12.75">
      <c r="B19" s="71" t="s">
        <v>106</v>
      </c>
      <c r="C19" s="7" t="s">
        <v>19</v>
      </c>
      <c r="D19" s="86">
        <f>COUNT(Q19:EC19)</f>
        <v>7</v>
      </c>
      <c r="E19" s="113">
        <f>AVERAGE(Q19:EC19)</f>
        <v>6.861428571428571</v>
      </c>
      <c r="F19" s="113">
        <f>CONFIDENCE(0.05,G19,D19)</f>
        <v>2.6145278278323443</v>
      </c>
      <c r="G19" s="113">
        <f>STDEV(Q19:EC19)</f>
        <v>3.5293456833216195</v>
      </c>
      <c r="H19" s="113">
        <f>QUARTILE(Q19:EC19,2)</f>
        <v>8.4</v>
      </c>
      <c r="I19" s="113">
        <f>MIN(Q19:EC19)</f>
        <v>0</v>
      </c>
      <c r="J19" s="113">
        <f>MAX(Q19:EC19)</f>
        <v>10</v>
      </c>
      <c r="K19" s="113">
        <f>PERCENTILE(Q19:EC19,0.95)</f>
        <v>9.838</v>
      </c>
      <c r="L19" s="102" t="str">
        <f>IF(H19&gt;8,"A",IF(H19&gt;6,"B",IF(H19&gt;4,"C",IF(H19&gt;2,"D","E"))))</f>
        <v>A</v>
      </c>
      <c r="N19" s="116" t="s">
        <v>96</v>
      </c>
      <c r="O19" s="108"/>
      <c r="P19" t="s">
        <v>96</v>
      </c>
      <c r="R19">
        <v>9.03</v>
      </c>
      <c r="S19">
        <v>9.46</v>
      </c>
      <c r="T19">
        <v>6.14</v>
      </c>
      <c r="X19">
        <v>8.4</v>
      </c>
      <c r="AB19">
        <v>10</v>
      </c>
      <c r="AF19">
        <v>0</v>
      </c>
      <c r="AJ19">
        <v>5</v>
      </c>
    </row>
    <row r="20" spans="2:36" ht="12.75">
      <c r="B20" s="72"/>
      <c r="C20" s="97" t="s">
        <v>122</v>
      </c>
      <c r="D20" s="87">
        <f>COUNT(Q20:EC20)</f>
        <v>4</v>
      </c>
      <c r="E20" s="114">
        <f>AVERAGE(Q20:EC20)</f>
        <v>0.325</v>
      </c>
      <c r="F20" s="114">
        <f>CONFIDENCE(0.05,G20,D20)</f>
        <v>0.6369882949755176</v>
      </c>
      <c r="G20" s="114">
        <f>STDEV(Q20:EC20)</f>
        <v>0.65</v>
      </c>
      <c r="H20" s="114">
        <f>QUARTILE(Q20:EC20,2)</f>
        <v>0</v>
      </c>
      <c r="I20" s="114">
        <f>MIN(Q20:EC20)</f>
        <v>0</v>
      </c>
      <c r="J20" s="114">
        <f>MAX(Q20:EC20)</f>
        <v>1.3</v>
      </c>
      <c r="K20" s="114">
        <f>PERCENTILE(Q20:EC20,0.95)</f>
        <v>1.1049999999999995</v>
      </c>
      <c r="L20" s="105"/>
      <c r="N20" s="116" t="s">
        <v>97</v>
      </c>
      <c r="O20" s="108"/>
      <c r="P20" t="s">
        <v>97</v>
      </c>
      <c r="X20">
        <v>1.3</v>
      </c>
      <c r="AB20">
        <v>0</v>
      </c>
      <c r="AF20">
        <v>0</v>
      </c>
      <c r="AJ20">
        <v>0</v>
      </c>
    </row>
    <row r="21" spans="2:15" ht="12.75">
      <c r="B21" s="71" t="s">
        <v>112</v>
      </c>
      <c r="C21" s="118" t="s">
        <v>21</v>
      </c>
      <c r="D21">
        <v>3</v>
      </c>
      <c r="E21" s="157">
        <v>0.2833333333333333</v>
      </c>
      <c r="I21">
        <v>0.05</v>
      </c>
      <c r="J21">
        <v>0.7</v>
      </c>
      <c r="K21" s="143"/>
      <c r="L21" s="144" t="str">
        <f>IF(E21&gt;=H52,"E","A - D")</f>
        <v>A - D</v>
      </c>
      <c r="O21" s="108"/>
    </row>
    <row r="22" spans="2:15" ht="12.75">
      <c r="B22" s="73" t="s">
        <v>111</v>
      </c>
      <c r="C22" s="122" t="s">
        <v>22</v>
      </c>
      <c r="D22">
        <v>3</v>
      </c>
      <c r="E22" s="157">
        <v>46.333333333333336</v>
      </c>
      <c r="I22">
        <v>42</v>
      </c>
      <c r="J22">
        <v>52</v>
      </c>
      <c r="K22" s="145"/>
      <c r="L22" s="144" t="str">
        <f>IF(E22&gt;=H53,"E","A - D")</f>
        <v>A - D</v>
      </c>
      <c r="N22" s="111"/>
      <c r="O22" s="108"/>
    </row>
    <row r="23" spans="2:15" ht="12.75">
      <c r="B23" s="73"/>
      <c r="C23" s="122" t="s">
        <v>23</v>
      </c>
      <c r="D23">
        <v>3</v>
      </c>
      <c r="E23" s="157">
        <v>100</v>
      </c>
      <c r="I23">
        <v>71</v>
      </c>
      <c r="J23">
        <v>130</v>
      </c>
      <c r="K23" s="145"/>
      <c r="L23" s="144" t="str">
        <f>IF(E23&gt;=H54,"E","A - D")</f>
        <v>E</v>
      </c>
      <c r="N23" s="111"/>
      <c r="O23" s="108"/>
    </row>
    <row r="24" spans="2:15" ht="12.75">
      <c r="B24" s="73"/>
      <c r="C24" s="122" t="s">
        <v>24</v>
      </c>
      <c r="D24">
        <v>3</v>
      </c>
      <c r="E24" s="157">
        <v>226.66666666666669</v>
      </c>
      <c r="I24">
        <v>140</v>
      </c>
      <c r="J24">
        <v>320</v>
      </c>
      <c r="K24" s="145"/>
      <c r="L24" s="144" t="str">
        <f>IF(E24&gt;=H55,"E","A - D")</f>
        <v>E</v>
      </c>
      <c r="N24" s="111"/>
      <c r="O24" s="108"/>
    </row>
    <row r="25" spans="2:15" ht="12.75">
      <c r="B25" s="71"/>
      <c r="C25" s="122"/>
      <c r="K25" s="145"/>
      <c r="L25" s="144"/>
      <c r="O25" s="108"/>
    </row>
    <row r="26" spans="2:15" ht="12.75">
      <c r="B26" s="71"/>
      <c r="C26" s="122" t="s">
        <v>28</v>
      </c>
      <c r="D26">
        <v>3</v>
      </c>
      <c r="E26" s="23">
        <v>0.0370013822682117</v>
      </c>
      <c r="F26" s="23"/>
      <c r="G26" s="23"/>
      <c r="H26" s="23"/>
      <c r="I26" s="23">
        <v>0.03</v>
      </c>
      <c r="J26" s="23">
        <v>0.05</v>
      </c>
      <c r="K26" s="145"/>
      <c r="L26" s="144" t="str">
        <f aca="true" t="shared" si="1" ref="L26:L41">IF(E26&gt;=H57,"E","A - D")</f>
        <v>E</v>
      </c>
      <c r="O26" s="108"/>
    </row>
    <row r="27" spans="2:15" ht="12.75">
      <c r="B27" s="73"/>
      <c r="C27" s="122" t="s">
        <v>29</v>
      </c>
      <c r="D27">
        <v>3</v>
      </c>
      <c r="E27" s="23">
        <v>0.24374456889164467</v>
      </c>
      <c r="F27" s="23"/>
      <c r="G27" s="23"/>
      <c r="H27" s="23"/>
      <c r="I27" s="23">
        <v>0.03</v>
      </c>
      <c r="J27" s="23">
        <v>0.5012337066749344</v>
      </c>
      <c r="K27" s="143"/>
      <c r="L27" s="144" t="str">
        <f t="shared" si="1"/>
        <v>E</v>
      </c>
      <c r="O27" s="108"/>
    </row>
    <row r="28" spans="2:15" ht="12.75">
      <c r="B28" s="73"/>
      <c r="C28" s="122" t="s">
        <v>30</v>
      </c>
      <c r="D28">
        <v>3</v>
      </c>
      <c r="E28" s="23">
        <v>0.061115718671816664</v>
      </c>
      <c r="F28" s="23"/>
      <c r="G28" s="23"/>
      <c r="H28" s="23"/>
      <c r="I28" s="23">
        <v>0.03</v>
      </c>
      <c r="J28" s="23">
        <v>0.1033471560154504</v>
      </c>
      <c r="K28" s="143"/>
      <c r="L28" s="144" t="str">
        <f t="shared" si="1"/>
        <v>A - D</v>
      </c>
      <c r="O28" s="108"/>
    </row>
    <row r="29" spans="2:15" ht="12.75">
      <c r="B29" s="127"/>
      <c r="C29" s="128" t="s">
        <v>31</v>
      </c>
      <c r="E29" s="23">
        <v>0.341861669831673</v>
      </c>
      <c r="F29" s="23"/>
      <c r="G29" s="23"/>
      <c r="H29" s="23"/>
      <c r="I29" s="23"/>
      <c r="J29" s="23"/>
      <c r="K29" s="147"/>
      <c r="L29" s="144" t="str">
        <f t="shared" si="1"/>
        <v>A - D</v>
      </c>
      <c r="O29" s="108"/>
    </row>
    <row r="30" spans="2:15" ht="12.75">
      <c r="B30" s="73"/>
      <c r="C30" s="122" t="s">
        <v>32</v>
      </c>
      <c r="D30">
        <v>3</v>
      </c>
      <c r="E30" s="23">
        <v>0.5140442325827748</v>
      </c>
      <c r="F30" s="23"/>
      <c r="G30" s="23"/>
      <c r="H30" s="23"/>
      <c r="I30" s="23">
        <v>0.05</v>
      </c>
      <c r="J30" s="23">
        <v>0.9921326977483237</v>
      </c>
      <c r="K30" s="143"/>
      <c r="L30" s="144" t="str">
        <f t="shared" si="1"/>
        <v>A - D</v>
      </c>
      <c r="O30" s="108"/>
    </row>
    <row r="31" spans="2:15" ht="12.75">
      <c r="B31" s="81"/>
      <c r="C31" s="122" t="s">
        <v>33</v>
      </c>
      <c r="D31">
        <v>3</v>
      </c>
      <c r="E31" s="23">
        <v>0.5053203977143055</v>
      </c>
      <c r="F31" s="23"/>
      <c r="G31" s="23"/>
      <c r="H31" s="23"/>
      <c r="I31" s="23">
        <v>0.06</v>
      </c>
      <c r="J31" s="23">
        <v>0.9559611931429162</v>
      </c>
      <c r="K31" s="143"/>
      <c r="L31" s="144" t="str">
        <f t="shared" si="1"/>
        <v>A - D</v>
      </c>
      <c r="O31" s="108"/>
    </row>
    <row r="32" spans="2:15" ht="12.75">
      <c r="B32" s="81"/>
      <c r="C32" s="122" t="s">
        <v>34</v>
      </c>
      <c r="D32">
        <v>3</v>
      </c>
      <c r="E32" s="23">
        <v>0.20757306428623698</v>
      </c>
      <c r="F32" s="23"/>
      <c r="G32" s="23"/>
      <c r="H32" s="23"/>
      <c r="I32" s="23">
        <v>0.03</v>
      </c>
      <c r="J32" s="23">
        <v>0.3927191928587115</v>
      </c>
      <c r="K32" s="143"/>
      <c r="L32" s="144" t="str">
        <f t="shared" si="1"/>
        <v>A - D</v>
      </c>
      <c r="O32" s="108"/>
    </row>
    <row r="33" spans="2:15" ht="12.75">
      <c r="B33" s="81"/>
      <c r="C33" s="122" t="s">
        <v>35</v>
      </c>
      <c r="D33">
        <v>3</v>
      </c>
      <c r="E33" s="23">
        <v>0.23585061168597968</v>
      </c>
      <c r="F33" s="23"/>
      <c r="G33" s="23"/>
      <c r="H33" s="23"/>
      <c r="I33" s="23">
        <v>0.02</v>
      </c>
      <c r="J33" s="23">
        <v>0.38755183505793894</v>
      </c>
      <c r="K33" s="150"/>
      <c r="L33" s="144" t="str">
        <f t="shared" si="1"/>
        <v>A - D</v>
      </c>
      <c r="O33" s="108"/>
    </row>
    <row r="34" spans="2:15" ht="12.75">
      <c r="B34" s="81"/>
      <c r="C34" s="122" t="s">
        <v>36</v>
      </c>
      <c r="D34">
        <v>3</v>
      </c>
      <c r="E34" s="23">
        <v>0.27352142515728134</v>
      </c>
      <c r="F34" s="23"/>
      <c r="G34" s="23"/>
      <c r="H34" s="23"/>
      <c r="I34" s="23">
        <v>0.04</v>
      </c>
      <c r="J34" s="23">
        <v>0.4805642754718443</v>
      </c>
      <c r="K34" s="151"/>
      <c r="L34" s="144" t="str">
        <f t="shared" si="1"/>
        <v>A - D</v>
      </c>
      <c r="O34" s="108"/>
    </row>
    <row r="35" spans="2:15" ht="12.75">
      <c r="B35" s="81"/>
      <c r="C35" s="122" t="s">
        <v>37</v>
      </c>
      <c r="D35">
        <v>3</v>
      </c>
      <c r="E35" s="23">
        <v>0.14728722327722432</v>
      </c>
      <c r="F35" s="23"/>
      <c r="G35" s="23"/>
      <c r="H35" s="23"/>
      <c r="I35" s="23">
        <v>0.03</v>
      </c>
      <c r="J35" s="23">
        <v>0.2118616698316733</v>
      </c>
      <c r="K35" s="147"/>
      <c r="L35" s="144" t="str">
        <f t="shared" si="1"/>
        <v>A - D</v>
      </c>
      <c r="O35" s="108"/>
    </row>
    <row r="36" spans="2:15" ht="12.75">
      <c r="B36" s="81"/>
      <c r="C36" s="122" t="s">
        <v>38</v>
      </c>
      <c r="D36">
        <v>3</v>
      </c>
      <c r="E36" s="23">
        <v>0.25468601842163063</v>
      </c>
      <c r="F36" s="23"/>
      <c r="G36" s="23"/>
      <c r="H36" s="23"/>
      <c r="I36" s="23">
        <v>0.03</v>
      </c>
      <c r="J36" s="23">
        <v>0.4340580552648916</v>
      </c>
      <c r="K36" s="147"/>
      <c r="L36" s="144" t="str">
        <f t="shared" si="1"/>
        <v>A - D</v>
      </c>
      <c r="O36" s="108"/>
    </row>
    <row r="37" spans="2:15" ht="12.75">
      <c r="B37" s="81"/>
      <c r="C37" s="122" t="s">
        <v>39</v>
      </c>
      <c r="D37">
        <v>3</v>
      </c>
      <c r="E37" s="23">
        <v>0.04272659940489267</v>
      </c>
      <c r="F37" s="23"/>
      <c r="G37" s="23"/>
      <c r="H37" s="23"/>
      <c r="I37" s="23">
        <v>0</v>
      </c>
      <c r="J37" s="23">
        <v>0.09817979821467787</v>
      </c>
      <c r="K37" s="147"/>
      <c r="L37" s="144" t="str">
        <f t="shared" si="1"/>
        <v>A - D</v>
      </c>
      <c r="O37" s="108"/>
    </row>
    <row r="38" spans="2:15" ht="12.75">
      <c r="B38" s="81"/>
      <c r="C38" s="122" t="s">
        <v>40</v>
      </c>
      <c r="D38">
        <v>3</v>
      </c>
      <c r="E38" s="23">
        <v>0.204128159085722</v>
      </c>
      <c r="F38" s="23"/>
      <c r="G38" s="23"/>
      <c r="H38" s="23"/>
      <c r="I38" s="23">
        <v>0.03</v>
      </c>
      <c r="J38" s="23">
        <v>0.38238447725716646</v>
      </c>
      <c r="K38" s="147"/>
      <c r="L38" s="144"/>
      <c r="O38" s="108"/>
    </row>
    <row r="39" spans="2:15" ht="12.75">
      <c r="B39" s="81"/>
      <c r="C39" s="122" t="s">
        <v>41</v>
      </c>
      <c r="D39">
        <v>3</v>
      </c>
      <c r="E39" s="23">
        <v>0.20990225081493533</v>
      </c>
      <c r="F39" s="23"/>
      <c r="G39" s="23"/>
      <c r="H39" s="23"/>
      <c r="I39" s="23">
        <v>0.03</v>
      </c>
      <c r="J39" s="23">
        <v>0.3</v>
      </c>
      <c r="K39" s="147"/>
      <c r="L39" s="144" t="str">
        <f t="shared" si="1"/>
        <v>E</v>
      </c>
      <c r="O39" s="108"/>
    </row>
    <row r="40" spans="2:15" ht="12.75">
      <c r="B40" s="127"/>
      <c r="C40" s="128" t="s">
        <v>42</v>
      </c>
      <c r="E40" s="23">
        <v>2.595039982430983</v>
      </c>
      <c r="F40" s="23"/>
      <c r="G40" s="23"/>
      <c r="H40" s="23"/>
      <c r="I40" s="23"/>
      <c r="J40" s="23"/>
      <c r="K40" s="147"/>
      <c r="L40" s="144" t="str">
        <f t="shared" si="1"/>
        <v>E</v>
      </c>
      <c r="O40" s="108"/>
    </row>
    <row r="41" spans="2:15" ht="12.75">
      <c r="B41" s="127"/>
      <c r="C41" s="131" t="s">
        <v>43</v>
      </c>
      <c r="E41" s="23">
        <v>2.936901652262656</v>
      </c>
      <c r="F41" s="23"/>
      <c r="G41" s="23"/>
      <c r="H41" s="23"/>
      <c r="I41" s="23"/>
      <c r="J41" s="23"/>
      <c r="K41" s="147"/>
      <c r="L41" s="144" t="str">
        <f t="shared" si="1"/>
        <v>A - D</v>
      </c>
      <c r="O41" s="108"/>
    </row>
    <row r="42" spans="2:15" ht="12.75">
      <c r="B42" s="81"/>
      <c r="C42" s="122" t="s">
        <v>44</v>
      </c>
      <c r="D42">
        <v>3</v>
      </c>
      <c r="E42" s="23">
        <v>0.21446287468726735</v>
      </c>
      <c r="F42" s="23"/>
      <c r="G42" s="23"/>
      <c r="H42" s="23"/>
      <c r="I42" s="23">
        <v>0</v>
      </c>
      <c r="J42" s="23">
        <v>0.4133886240618016</v>
      </c>
      <c r="K42" s="147"/>
      <c r="L42" s="152"/>
      <c r="O42" s="108"/>
    </row>
    <row r="43" spans="2:15" ht="13.5" thickBot="1">
      <c r="B43" s="83"/>
      <c r="C43" s="133"/>
      <c r="D43" s="134"/>
      <c r="E43" s="84"/>
      <c r="F43" s="84"/>
      <c r="G43" s="84"/>
      <c r="H43" s="84"/>
      <c r="I43" s="84"/>
      <c r="J43" s="84"/>
      <c r="K43" s="84"/>
      <c r="L43" s="135"/>
      <c r="O43" s="108"/>
    </row>
    <row r="44" spans="2:12" ht="12.75">
      <c r="B44" s="80"/>
      <c r="C44" s="89"/>
      <c r="D44" s="89"/>
      <c r="E44" s="89"/>
      <c r="F44" s="89"/>
      <c r="G44" s="89"/>
      <c r="H44" s="89"/>
      <c r="I44" s="89"/>
      <c r="J44" s="89"/>
      <c r="K44" s="89"/>
      <c r="L44" s="100"/>
    </row>
    <row r="45" spans="2:12" ht="12.75">
      <c r="B45" s="210" t="s">
        <v>119</v>
      </c>
      <c r="C45" s="211"/>
      <c r="D45" s="211"/>
      <c r="E45" s="211"/>
      <c r="F45" s="211"/>
      <c r="G45" s="76" t="str">
        <f>'Combined Score Calcs'!K10</f>
        <v>D</v>
      </c>
      <c r="H45" s="39"/>
      <c r="I45" s="39"/>
      <c r="J45" s="39"/>
      <c r="K45" s="99"/>
      <c r="L45" s="90"/>
    </row>
    <row r="46" spans="2:12" ht="13.5" thickBot="1">
      <c r="B46" s="83"/>
      <c r="C46" s="84"/>
      <c r="D46" s="84"/>
      <c r="E46" s="84"/>
      <c r="F46" s="84"/>
      <c r="G46" s="84"/>
      <c r="H46" s="84"/>
      <c r="I46" s="84"/>
      <c r="J46" s="84"/>
      <c r="K46" s="84"/>
      <c r="L46" s="91"/>
    </row>
    <row r="47" ht="12.75">
      <c r="L47" s="60"/>
    </row>
    <row r="48" ht="12.75">
      <c r="L48" s="60"/>
    </row>
    <row r="49" ht="12.75">
      <c r="L49" s="60"/>
    </row>
    <row r="50" ht="12.75">
      <c r="L50" s="60"/>
    </row>
    <row r="51" spans="7:12" ht="12.75">
      <c r="G51" t="s">
        <v>140</v>
      </c>
      <c r="H51" t="s">
        <v>141</v>
      </c>
      <c r="L51" s="60"/>
    </row>
    <row r="52" spans="7:12" ht="12.75">
      <c r="G52" s="118" t="s">
        <v>21</v>
      </c>
      <c r="H52" s="136">
        <v>1.5</v>
      </c>
      <c r="I52" s="137">
        <v>10</v>
      </c>
      <c r="L52" s="60"/>
    </row>
    <row r="53" spans="7:12" ht="12.75">
      <c r="G53" s="122" t="s">
        <v>22</v>
      </c>
      <c r="H53" s="137">
        <v>65</v>
      </c>
      <c r="I53" s="137">
        <v>270</v>
      </c>
      <c r="L53" s="60"/>
    </row>
    <row r="54" spans="7:12" ht="12.75">
      <c r="G54" s="122" t="s">
        <v>23</v>
      </c>
      <c r="H54" s="137">
        <v>50</v>
      </c>
      <c r="I54" s="137">
        <v>220</v>
      </c>
      <c r="L54" s="60"/>
    </row>
    <row r="55" spans="7:12" ht="12.75">
      <c r="G55" s="122" t="s">
        <v>24</v>
      </c>
      <c r="H55" s="137">
        <v>200</v>
      </c>
      <c r="I55" s="137">
        <v>210</v>
      </c>
      <c r="L55" s="60"/>
    </row>
    <row r="56" spans="7:12" ht="12.75">
      <c r="G56" s="122"/>
      <c r="H56" t="s">
        <v>137</v>
      </c>
      <c r="I56" t="s">
        <v>138</v>
      </c>
      <c r="L56" s="60"/>
    </row>
    <row r="57" spans="7:12" ht="12.75">
      <c r="G57" s="122" t="s">
        <v>28</v>
      </c>
      <c r="H57" s="138">
        <v>0.019</v>
      </c>
      <c r="I57" s="139">
        <v>0.54</v>
      </c>
      <c r="L57" s="60"/>
    </row>
    <row r="58" spans="7:12" ht="12.75">
      <c r="G58" s="122" t="s">
        <v>29</v>
      </c>
      <c r="H58" s="138">
        <v>0.24</v>
      </c>
      <c r="I58" s="139">
        <v>1.5</v>
      </c>
      <c r="L58" s="60"/>
    </row>
    <row r="59" spans="7:12" ht="12.75">
      <c r="G59" s="122" t="s">
        <v>30</v>
      </c>
      <c r="H59" s="138">
        <v>0.085</v>
      </c>
      <c r="I59" s="139">
        <v>1.1</v>
      </c>
      <c r="L59" s="60"/>
    </row>
    <row r="60" spans="7:12" ht="12.75">
      <c r="G60" s="128" t="s">
        <v>31</v>
      </c>
      <c r="H60" s="138">
        <v>0.552</v>
      </c>
      <c r="I60" s="139">
        <v>3.16</v>
      </c>
      <c r="L60" s="60"/>
    </row>
    <row r="61" spans="7:12" ht="12.75">
      <c r="G61" s="122" t="s">
        <v>32</v>
      </c>
      <c r="H61" s="138">
        <v>0.6</v>
      </c>
      <c r="I61" s="139">
        <v>5.1</v>
      </c>
      <c r="L61" s="60"/>
    </row>
    <row r="62" spans="7:12" ht="12.75">
      <c r="G62" s="122" t="s">
        <v>33</v>
      </c>
      <c r="H62" s="138">
        <v>0.665</v>
      </c>
      <c r="I62" s="139">
        <v>2.6</v>
      </c>
      <c r="L62" s="60"/>
    </row>
    <row r="63" spans="7:12" ht="12.75">
      <c r="G63" s="122" t="s">
        <v>34</v>
      </c>
      <c r="H63" s="138">
        <v>0.261</v>
      </c>
      <c r="I63" s="139">
        <v>1.6</v>
      </c>
      <c r="L63" s="60"/>
    </row>
    <row r="64" spans="7:12" ht="12.75">
      <c r="G64" s="122" t="s">
        <v>35</v>
      </c>
      <c r="H64" s="138">
        <v>0.384</v>
      </c>
      <c r="I64" s="139">
        <v>2.8</v>
      </c>
      <c r="L64" s="60"/>
    </row>
    <row r="65" spans="7:12" ht="12.75">
      <c r="G65" s="122" t="s">
        <v>36</v>
      </c>
      <c r="H65" s="138">
        <v>0.8</v>
      </c>
      <c r="I65" s="139">
        <v>8</v>
      </c>
      <c r="L65" s="60"/>
    </row>
    <row r="66" spans="7:9" ht="12.75">
      <c r="G66" s="122" t="s">
        <v>37</v>
      </c>
      <c r="H66" s="138">
        <v>0.8</v>
      </c>
      <c r="I66" s="139">
        <v>8</v>
      </c>
    </row>
    <row r="67" spans="7:9" ht="12.75">
      <c r="G67" s="122" t="s">
        <v>38</v>
      </c>
      <c r="H67" s="138">
        <v>0.43</v>
      </c>
      <c r="I67" s="139">
        <v>1.6</v>
      </c>
    </row>
    <row r="68" spans="7:9" ht="12.75">
      <c r="G68" s="122" t="s">
        <v>39</v>
      </c>
      <c r="H68" s="138">
        <v>0.063</v>
      </c>
      <c r="I68" s="139">
        <v>0.26</v>
      </c>
    </row>
    <row r="69" spans="7:9" ht="12.75">
      <c r="G69" s="122" t="s">
        <v>40</v>
      </c>
      <c r="H69" s="138" t="s">
        <v>139</v>
      </c>
      <c r="I69" s="139" t="s">
        <v>139</v>
      </c>
    </row>
    <row r="70" spans="7:9" ht="12.75">
      <c r="G70" s="122" t="s">
        <v>41</v>
      </c>
      <c r="H70" s="138">
        <v>0.069</v>
      </c>
      <c r="I70" s="139">
        <v>5.2</v>
      </c>
    </row>
    <row r="71" spans="7:9" ht="12.75">
      <c r="G71" s="128" t="s">
        <v>42</v>
      </c>
      <c r="H71" s="138">
        <v>1.7</v>
      </c>
      <c r="I71" s="139">
        <v>9.6</v>
      </c>
    </row>
    <row r="72" spans="7:9" ht="12.75">
      <c r="G72" s="131" t="s">
        <v>43</v>
      </c>
      <c r="H72" s="138">
        <v>4</v>
      </c>
      <c r="I72" s="139">
        <v>45</v>
      </c>
    </row>
    <row r="73" ht="12.75">
      <c r="G73" s="122" t="s">
        <v>44</v>
      </c>
    </row>
  </sheetData>
  <mergeCells count="1">
    <mergeCell ref="B45:F45"/>
  </mergeCells>
  <printOptions/>
  <pageMargins left="0.75" right="0.75" top="1" bottom="1" header="0.5" footer="0.5"/>
  <pageSetup horizontalDpi="600" verticalDpi="600" orientation="portrait" paperSize="133" r:id="rId1"/>
</worksheet>
</file>

<file path=xl/worksheets/sheet23.xml><?xml version="1.0" encoding="utf-8"?>
<worksheet xmlns="http://schemas.openxmlformats.org/spreadsheetml/2006/main" xmlns:r="http://schemas.openxmlformats.org/officeDocument/2006/relationships">
  <dimension ref="B1:AQ73"/>
  <sheetViews>
    <sheetView workbookViewId="0" topLeftCell="A2">
      <selection activeCell="B15" sqref="B15:C18"/>
    </sheetView>
  </sheetViews>
  <sheetFormatPr defaultColWidth="9.140625" defaultRowHeight="12.75"/>
  <cols>
    <col min="3" max="3" width="28.7109375" style="0" bestFit="1" customWidth="1"/>
    <col min="14" max="14" width="34.140625" style="0" customWidth="1"/>
    <col min="16" max="16" width="33.57421875" style="0" customWidth="1"/>
  </cols>
  <sheetData>
    <row r="1" spans="2:15" ht="15.75">
      <c r="B1" s="107" t="s">
        <v>142</v>
      </c>
      <c r="O1" s="109" t="s">
        <v>125</v>
      </c>
    </row>
    <row r="2" spans="12:39" ht="13.5" thickBot="1">
      <c r="L2" s="60"/>
      <c r="N2" s="116" t="s">
        <v>84</v>
      </c>
      <c r="O2" s="110"/>
      <c r="P2" t="s">
        <v>84</v>
      </c>
      <c r="Q2" t="s">
        <v>48</v>
      </c>
      <c r="R2" t="s">
        <v>48</v>
      </c>
      <c r="S2" t="s">
        <v>48</v>
      </c>
      <c r="T2" t="s">
        <v>48</v>
      </c>
      <c r="U2" t="s">
        <v>48</v>
      </c>
      <c r="V2" t="s">
        <v>48</v>
      </c>
      <c r="W2" t="s">
        <v>48</v>
      </c>
      <c r="X2" t="s">
        <v>48</v>
      </c>
      <c r="Y2" t="s">
        <v>48</v>
      </c>
      <c r="Z2" t="s">
        <v>48</v>
      </c>
      <c r="AA2" t="s">
        <v>48</v>
      </c>
      <c r="AB2" t="s">
        <v>48</v>
      </c>
      <c r="AC2" t="s">
        <v>48</v>
      </c>
      <c r="AD2" t="s">
        <v>48</v>
      </c>
      <c r="AE2" t="s">
        <v>48</v>
      </c>
      <c r="AF2" t="s">
        <v>48</v>
      </c>
      <c r="AG2" t="s">
        <v>48</v>
      </c>
      <c r="AH2" t="s">
        <v>48</v>
      </c>
      <c r="AI2" t="s">
        <v>48</v>
      </c>
      <c r="AJ2" t="s">
        <v>48</v>
      </c>
      <c r="AK2" t="s">
        <v>48</v>
      </c>
      <c r="AL2" t="s">
        <v>48</v>
      </c>
      <c r="AM2" t="s">
        <v>48</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36831.572916666664</v>
      </c>
      <c r="R3" s="64">
        <v>36917.48611111111</v>
      </c>
      <c r="S3" s="64">
        <v>37011.520833333336</v>
      </c>
      <c r="T3" s="64">
        <v>37106.50347222222</v>
      </c>
      <c r="U3" s="64">
        <v>37221.524305555555</v>
      </c>
      <c r="V3" s="64">
        <v>37383.447916666664</v>
      </c>
      <c r="W3" s="64">
        <v>37474.427083333336</v>
      </c>
      <c r="X3" s="64">
        <v>37585.461805555555</v>
      </c>
      <c r="Y3" s="64">
        <v>37648.45138888889</v>
      </c>
      <c r="Z3" s="64">
        <v>37746.458333333336</v>
      </c>
      <c r="AA3" s="64">
        <v>37837.447916666664</v>
      </c>
      <c r="AB3" s="64">
        <v>37949.57638888889</v>
      </c>
      <c r="AC3" s="64">
        <v>38027.45486111111</v>
      </c>
      <c r="AD3" s="64">
        <v>38111.4375</v>
      </c>
      <c r="AE3" s="64">
        <v>38202.40833333333</v>
      </c>
      <c r="AF3" s="64">
        <v>38335.46875</v>
      </c>
      <c r="AG3" s="64">
        <v>38393.395833333336</v>
      </c>
      <c r="AH3" s="64">
        <v>38477.44097222222</v>
      </c>
      <c r="AI3" s="64">
        <v>38593.44652777778</v>
      </c>
      <c r="AJ3" s="64">
        <v>38679.635416666664</v>
      </c>
      <c r="AK3" s="64">
        <v>38776.438888888886</v>
      </c>
      <c r="AL3" s="64">
        <v>38869.40277777778</v>
      </c>
      <c r="AM3" s="64">
        <v>38960.42152777778</v>
      </c>
      <c r="AO3" s="64"/>
      <c r="AP3" s="64"/>
      <c r="AQ3" s="64"/>
    </row>
    <row r="4" spans="2:39" ht="12.75">
      <c r="B4" s="68" t="s">
        <v>103</v>
      </c>
      <c r="C4" s="93" t="s">
        <v>4</v>
      </c>
      <c r="D4" s="81">
        <f>COUNT(Q4:EC4)</f>
        <v>20</v>
      </c>
      <c r="E4" s="82">
        <f>AVERAGE(Q4:EC4)</f>
        <v>0.3540500000000001</v>
      </c>
      <c r="F4" s="82">
        <f aca="true" t="shared" si="0" ref="F4:F15">CONFIDENCE(0.05,G4,D4)</f>
        <v>0.2407564758383024</v>
      </c>
      <c r="G4" s="82">
        <f>STDEV(Q4:EC4)</f>
        <v>0.549344631068886</v>
      </c>
      <c r="H4" s="82">
        <f>QUARTILE(Q4:EC4,2)</f>
        <v>0.023</v>
      </c>
      <c r="I4" s="82">
        <f>MIN(Q4:EC4)</f>
        <v>0.002</v>
      </c>
      <c r="J4" s="82">
        <f>MAX(Q4:EC4)</f>
        <v>1.8</v>
      </c>
      <c r="K4" s="82">
        <f>PERCENTILE(Q4:EC4,0.95)</f>
        <v>1.4200000000000002</v>
      </c>
      <c r="L4" s="102" t="str">
        <f>IF((H4+H5)&lt;0.08,"A",IF((H4+H5)&lt;0.12,"B",IF((H4+H5)&lt;0.295,"C",IF((H4+H5)&lt;0.444,"D","E"))))</f>
        <v>A</v>
      </c>
      <c r="N4" s="116" t="s">
        <v>86</v>
      </c>
      <c r="O4" s="108"/>
      <c r="P4" t="s">
        <v>86</v>
      </c>
      <c r="R4">
        <v>0.02</v>
      </c>
      <c r="S4">
        <v>0.02</v>
      </c>
      <c r="V4">
        <v>0.026</v>
      </c>
      <c r="W4">
        <v>0.81</v>
      </c>
      <c r="X4">
        <v>0.041</v>
      </c>
      <c r="Y4">
        <v>0.002</v>
      </c>
      <c r="Z4">
        <v>0.002</v>
      </c>
      <c r="AA4">
        <v>0.26</v>
      </c>
      <c r="AB4">
        <v>0.013</v>
      </c>
      <c r="AC4">
        <v>0.004</v>
      </c>
      <c r="AD4">
        <v>0.96</v>
      </c>
      <c r="AE4">
        <v>1.8</v>
      </c>
      <c r="AF4">
        <v>0.012</v>
      </c>
      <c r="AG4">
        <v>0.037</v>
      </c>
      <c r="AH4">
        <v>0.006</v>
      </c>
      <c r="AI4">
        <v>0.91</v>
      </c>
      <c r="AJ4">
        <v>0.006</v>
      </c>
      <c r="AK4">
        <v>0.002</v>
      </c>
      <c r="AL4">
        <v>1.4</v>
      </c>
      <c r="AM4">
        <v>0.75</v>
      </c>
    </row>
    <row r="5" spans="2:39" ht="12.75">
      <c r="B5" s="69"/>
      <c r="C5" s="5" t="s">
        <v>5</v>
      </c>
      <c r="D5" s="73">
        <f>COUNT(Q5:EC5)</f>
        <v>18</v>
      </c>
      <c r="E5" s="112">
        <f>AVERAGE(Q5:EC5)</f>
        <v>0.009055555555555558</v>
      </c>
      <c r="F5" s="112">
        <f t="shared" si="0"/>
        <v>0.0019111396032596008</v>
      </c>
      <c r="G5" s="112">
        <f>STDEV(Q5:EC5)</f>
        <v>0.004136952874395273</v>
      </c>
      <c r="H5" s="112">
        <f>QUARTILE(Q5:EC5,2)</f>
        <v>0.009</v>
      </c>
      <c r="I5" s="112">
        <f>MIN(Q5:EC5)</f>
        <v>0.005</v>
      </c>
      <c r="J5" s="112">
        <f>MAX(Q5:EC5)</f>
        <v>0.017</v>
      </c>
      <c r="K5" s="112">
        <f>PERCENTILE(Q5:EC5,0.95)</f>
        <v>0.017</v>
      </c>
      <c r="L5" s="102"/>
      <c r="N5" s="116" t="s">
        <v>87</v>
      </c>
      <c r="O5" s="108"/>
      <c r="P5" t="s">
        <v>87</v>
      </c>
      <c r="V5">
        <v>0.005</v>
      </c>
      <c r="W5">
        <v>0.012</v>
      </c>
      <c r="X5">
        <v>0.017</v>
      </c>
      <c r="Y5">
        <v>0.005</v>
      </c>
      <c r="Z5">
        <v>0.007</v>
      </c>
      <c r="AA5">
        <v>0.01</v>
      </c>
      <c r="AB5">
        <v>0.009</v>
      </c>
      <c r="AC5">
        <v>0.016</v>
      </c>
      <c r="AD5">
        <v>0.01</v>
      </c>
      <c r="AE5">
        <v>0.005</v>
      </c>
      <c r="AF5">
        <v>0.009</v>
      </c>
      <c r="AG5">
        <v>0.017</v>
      </c>
      <c r="AH5">
        <v>0.005</v>
      </c>
      <c r="AI5">
        <v>0.006</v>
      </c>
      <c r="AJ5">
        <v>0.01</v>
      </c>
      <c r="AK5">
        <v>0.005</v>
      </c>
      <c r="AL5">
        <v>0.009</v>
      </c>
      <c r="AM5">
        <v>0.006</v>
      </c>
    </row>
    <row r="6" spans="2:39" ht="12.75">
      <c r="B6" s="70"/>
      <c r="C6" s="94" t="s">
        <v>6</v>
      </c>
      <c r="D6" s="73">
        <f>COUNT(Q6:EC6)</f>
        <v>23</v>
      </c>
      <c r="E6" s="112">
        <f>AVERAGE(Q6:EC6)</f>
        <v>0.012913043478260871</v>
      </c>
      <c r="F6" s="112">
        <f t="shared" si="0"/>
        <v>0.002548975098506235</v>
      </c>
      <c r="G6" s="112">
        <f>STDEV(Q6:EC6)</f>
        <v>0.006237081510670751</v>
      </c>
      <c r="H6" s="112">
        <f>QUARTILE(Q6:EC6,2)</f>
        <v>0.01</v>
      </c>
      <c r="I6" s="112">
        <f>MIN(Q6:EC6)</f>
        <v>0.005</v>
      </c>
      <c r="J6" s="112">
        <f>MAX(Q6:EC6)</f>
        <v>0.026</v>
      </c>
      <c r="K6" s="112">
        <f>PERCENTILE(Q6:EC6,0.95)</f>
        <v>0.023899999999999998</v>
      </c>
      <c r="L6" s="102" t="str">
        <f>IF((H6)&lt;0.005,"A",IF((H6)&lt;0.008,"B",IF((H6)&lt;0.026,"C",IF((H6)&lt;0.05,"D","E"))))</f>
        <v>C</v>
      </c>
      <c r="N6" s="116" t="s">
        <v>88</v>
      </c>
      <c r="O6" s="108"/>
      <c r="P6" t="s">
        <v>88</v>
      </c>
      <c r="Q6">
        <v>0.017</v>
      </c>
      <c r="R6">
        <v>0.019</v>
      </c>
      <c r="S6">
        <v>0.008</v>
      </c>
      <c r="T6">
        <v>0.005</v>
      </c>
      <c r="U6">
        <v>0.021</v>
      </c>
      <c r="V6">
        <v>0.01</v>
      </c>
      <c r="W6">
        <v>0.01</v>
      </c>
      <c r="X6">
        <v>0.008</v>
      </c>
      <c r="Y6">
        <v>0.01</v>
      </c>
      <c r="Z6">
        <v>0.012</v>
      </c>
      <c r="AA6">
        <v>0.007</v>
      </c>
      <c r="AB6">
        <v>0.009</v>
      </c>
      <c r="AC6">
        <v>0.009</v>
      </c>
      <c r="AD6">
        <v>0.026</v>
      </c>
      <c r="AE6">
        <v>0.016</v>
      </c>
      <c r="AF6">
        <v>0.008</v>
      </c>
      <c r="AG6">
        <v>0.023</v>
      </c>
      <c r="AH6">
        <v>0.008</v>
      </c>
      <c r="AI6">
        <v>0.008</v>
      </c>
      <c r="AJ6">
        <v>0.024</v>
      </c>
      <c r="AK6">
        <v>0.011</v>
      </c>
      <c r="AL6">
        <v>0.019</v>
      </c>
      <c r="AM6">
        <v>0.009</v>
      </c>
    </row>
    <row r="7" spans="2:39" ht="12.75">
      <c r="B7" s="71" t="s">
        <v>104</v>
      </c>
      <c r="C7" s="6" t="s">
        <v>7</v>
      </c>
      <c r="D7" s="86">
        <f>COUNT(Q7:EC7)</f>
        <v>23</v>
      </c>
      <c r="E7" s="113">
        <f>AVERAGE(Q7:EC7)</f>
        <v>7.962173913043479</v>
      </c>
      <c r="F7" s="113">
        <f t="shared" si="0"/>
        <v>0.2798356591392523</v>
      </c>
      <c r="G7" s="113">
        <f>STDEV(Q7:EC7)</f>
        <v>0.684729253207149</v>
      </c>
      <c r="H7" s="113">
        <f>QUARTILE(Q7:EC7,2)</f>
        <v>7.72</v>
      </c>
      <c r="I7" s="113">
        <f>MIN(Q7:EC7)</f>
        <v>6.96</v>
      </c>
      <c r="J7" s="113">
        <f>MAX(Q7:EC7)</f>
        <v>9.99</v>
      </c>
      <c r="K7" s="113">
        <f>PERCENTILE(Q7:EC7,0.95)</f>
        <v>9.03</v>
      </c>
      <c r="L7" s="103" t="str">
        <f>IF(AND(7.2&lt;H7,H7&lt;9),"A",IF(AND(7.2&lt;=H7,H7&lt;=9),"B",IF(AND(6.5&lt;=H7,H7&lt;=9),"C",IF(AND(6.5&lt;=H7,H7&lt;=10),"D","E"))))</f>
        <v>A</v>
      </c>
      <c r="N7" s="116" t="s">
        <v>89</v>
      </c>
      <c r="O7" s="108"/>
      <c r="P7" t="s">
        <v>89</v>
      </c>
      <c r="Q7">
        <v>9.06</v>
      </c>
      <c r="R7">
        <v>7.45</v>
      </c>
      <c r="S7">
        <v>9.99</v>
      </c>
      <c r="T7">
        <v>8.67</v>
      </c>
      <c r="U7">
        <v>8.47</v>
      </c>
      <c r="V7">
        <v>7.66</v>
      </c>
      <c r="W7">
        <v>8.44</v>
      </c>
      <c r="X7">
        <v>8.03</v>
      </c>
      <c r="Y7">
        <v>7.72</v>
      </c>
      <c r="Z7">
        <v>7.62</v>
      </c>
      <c r="AA7">
        <v>7.95</v>
      </c>
      <c r="AB7">
        <v>8.76</v>
      </c>
      <c r="AC7">
        <v>7.7</v>
      </c>
      <c r="AD7">
        <v>7.28</v>
      </c>
      <c r="AE7">
        <v>7.25</v>
      </c>
      <c r="AF7">
        <v>7.93</v>
      </c>
      <c r="AG7">
        <v>7.58</v>
      </c>
      <c r="AH7">
        <v>7.38</v>
      </c>
      <c r="AI7">
        <v>7.72</v>
      </c>
      <c r="AJ7">
        <v>7.61</v>
      </c>
      <c r="AK7">
        <v>6.96</v>
      </c>
      <c r="AL7">
        <v>7.7</v>
      </c>
      <c r="AM7">
        <v>8.2</v>
      </c>
    </row>
    <row r="8" spans="2:39" ht="12.75">
      <c r="B8" s="71"/>
      <c r="C8" s="6" t="s">
        <v>8</v>
      </c>
      <c r="D8" s="81">
        <f>COUNT(Q8:EC8)</f>
        <v>23</v>
      </c>
      <c r="E8" s="44">
        <f>AVERAGE(Q8:EC8)</f>
        <v>14.617391304347823</v>
      </c>
      <c r="F8" s="44">
        <f t="shared" si="0"/>
        <v>2.3668107720952363</v>
      </c>
      <c r="G8" s="44">
        <f>STDEV(Q8:EC8)</f>
        <v>5.791344024718983</v>
      </c>
      <c r="H8" s="44">
        <f>QUARTILE(Q8:EC8,2)</f>
        <v>15.9</v>
      </c>
      <c r="I8" s="44">
        <f>MIN(Q8:EC8)</f>
        <v>6.1</v>
      </c>
      <c r="J8" s="44">
        <f>MAX(Q8:EC8)</f>
        <v>24</v>
      </c>
      <c r="K8" s="44">
        <f>PERCENTILE(Q8:EC8,0.95)</f>
        <v>23.699</v>
      </c>
      <c r="L8" s="102" t="str">
        <f>IF(H8&lt;18,"A",IF(H8&lt;20,"B",IF(H8&lt;22,"C",IF(H8&lt;25,"D","E"))))</f>
        <v>A</v>
      </c>
      <c r="N8" s="116" t="s">
        <v>90</v>
      </c>
      <c r="O8" s="108"/>
      <c r="P8" t="s">
        <v>90</v>
      </c>
      <c r="Q8">
        <v>24</v>
      </c>
      <c r="R8">
        <v>21.6</v>
      </c>
      <c r="S8">
        <v>15.9</v>
      </c>
      <c r="T8">
        <v>9.2</v>
      </c>
      <c r="U8">
        <v>16.69</v>
      </c>
      <c r="V8">
        <v>11.54</v>
      </c>
      <c r="W8">
        <v>7.5</v>
      </c>
      <c r="X8">
        <v>17.9</v>
      </c>
      <c r="Y8">
        <v>17.6</v>
      </c>
      <c r="Z8">
        <v>10.3</v>
      </c>
      <c r="AA8">
        <v>8.1</v>
      </c>
      <c r="AB8">
        <v>23.6</v>
      </c>
      <c r="AC8">
        <v>18.3</v>
      </c>
      <c r="AD8">
        <v>11.8</v>
      </c>
      <c r="AE8">
        <v>6.1</v>
      </c>
      <c r="AF8">
        <v>18.3</v>
      </c>
      <c r="AG8">
        <v>20.1</v>
      </c>
      <c r="AH8">
        <v>10.7</v>
      </c>
      <c r="AI8">
        <v>9.33</v>
      </c>
      <c r="AJ8">
        <v>23.71</v>
      </c>
      <c r="AK8">
        <v>16.95</v>
      </c>
      <c r="AL8">
        <v>8.58</v>
      </c>
      <c r="AM8">
        <v>8.4</v>
      </c>
    </row>
    <row r="9" spans="2:39" ht="12.75">
      <c r="B9" s="71"/>
      <c r="C9" s="7" t="s">
        <v>9</v>
      </c>
      <c r="D9" s="81">
        <f>COUNT(Q9:EC9)</f>
        <v>23</v>
      </c>
      <c r="E9" s="44">
        <f>AVERAGE(Q9:EC9)</f>
        <v>110.00434782608697</v>
      </c>
      <c r="F9" s="44">
        <f t="shared" si="0"/>
        <v>5.421517365037982</v>
      </c>
      <c r="G9" s="44">
        <f>STDEV(Q9:EC9)</f>
        <v>13.265898806573254</v>
      </c>
      <c r="H9" s="44">
        <f>QUARTILE(Q9:EC9,2)</f>
        <v>111</v>
      </c>
      <c r="I9" s="44">
        <f>MIN(Q9:EC9)</f>
        <v>82.5</v>
      </c>
      <c r="J9" s="44">
        <f>MAX(Q9:EC9)</f>
        <v>148.8</v>
      </c>
      <c r="K9" s="44">
        <f>PERCENTILE(Q9:EC9,0.95)</f>
        <v>125.88</v>
      </c>
      <c r="L9" s="104" t="str">
        <f>IF(AND(99&lt;=H9,H9&lt;=103),"A",IF(AND(98&lt;=H9,H9&lt;=105),"B",IF(H9&gt;90,"C",IF(H9&gt;80,"D","E"))))</f>
        <v>C</v>
      </c>
      <c r="N9" s="116" t="s">
        <v>91</v>
      </c>
      <c r="O9" s="108"/>
      <c r="P9" t="s">
        <v>91</v>
      </c>
      <c r="Q9">
        <v>111.1</v>
      </c>
      <c r="R9">
        <v>82.5</v>
      </c>
      <c r="S9">
        <v>114.6</v>
      </c>
      <c r="T9">
        <v>116.9</v>
      </c>
      <c r="U9">
        <v>113.7</v>
      </c>
      <c r="V9">
        <v>114.3</v>
      </c>
      <c r="W9">
        <v>115.6</v>
      </c>
      <c r="X9">
        <v>111</v>
      </c>
      <c r="Y9">
        <v>106.4</v>
      </c>
      <c r="Z9">
        <v>90</v>
      </c>
      <c r="AA9">
        <v>113.7</v>
      </c>
      <c r="AB9">
        <v>148.8</v>
      </c>
      <c r="AC9">
        <v>109.9</v>
      </c>
      <c r="AD9">
        <v>96.2</v>
      </c>
      <c r="AE9">
        <v>99.8</v>
      </c>
      <c r="AF9">
        <v>115</v>
      </c>
      <c r="AG9">
        <v>102.2</v>
      </c>
      <c r="AH9">
        <v>107.2</v>
      </c>
      <c r="AI9">
        <v>124.8</v>
      </c>
      <c r="AJ9">
        <v>126</v>
      </c>
      <c r="AK9">
        <v>103.9</v>
      </c>
      <c r="AL9">
        <v>97.9</v>
      </c>
      <c r="AM9">
        <v>108.6</v>
      </c>
    </row>
    <row r="10" spans="2:39" ht="12.75">
      <c r="B10" s="71"/>
      <c r="C10" s="6" t="s">
        <v>10</v>
      </c>
      <c r="D10" s="81">
        <f>COUNT(Q10:EC10)</f>
        <v>23</v>
      </c>
      <c r="E10" s="44">
        <f>AVERAGE(Q10:EC10)</f>
        <v>11.304782608695652</v>
      </c>
      <c r="F10" s="44">
        <f t="shared" si="0"/>
        <v>0.6877645203595467</v>
      </c>
      <c r="G10" s="44">
        <f>STDEV(Q10:EC10)</f>
        <v>1.6828894782627368</v>
      </c>
      <c r="H10" s="44">
        <f>QUARTILE(Q10:EC10,2)</f>
        <v>11.03</v>
      </c>
      <c r="I10" s="44">
        <f>MIN(Q10:EC10)</f>
        <v>7.32</v>
      </c>
      <c r="J10" s="44">
        <f>MAX(Q10:EC10)</f>
        <v>14.31</v>
      </c>
      <c r="K10" s="44">
        <f>PERCENTILE(Q10:EC10,0.95)</f>
        <v>13.808</v>
      </c>
      <c r="L10" s="102"/>
      <c r="N10" s="116" t="s">
        <v>92</v>
      </c>
      <c r="O10" s="108"/>
      <c r="P10" t="s">
        <v>92</v>
      </c>
      <c r="Q10">
        <v>9.38</v>
      </c>
      <c r="R10">
        <v>7.32</v>
      </c>
      <c r="S10">
        <v>11.29</v>
      </c>
      <c r="T10">
        <v>13.42</v>
      </c>
      <c r="U10">
        <v>11.03</v>
      </c>
      <c r="V10">
        <v>12.48</v>
      </c>
      <c r="W10">
        <v>13.85</v>
      </c>
      <c r="X10">
        <v>10.52</v>
      </c>
      <c r="Y10">
        <v>10.16</v>
      </c>
      <c r="Z10">
        <v>10.08</v>
      </c>
      <c r="AA10">
        <v>13.43</v>
      </c>
      <c r="AB10">
        <v>12.64</v>
      </c>
      <c r="AC10">
        <v>10.35</v>
      </c>
      <c r="AD10">
        <v>10.42</v>
      </c>
      <c r="AE10">
        <v>12.4</v>
      </c>
      <c r="AF10">
        <v>10.81</v>
      </c>
      <c r="AG10">
        <v>9.27</v>
      </c>
      <c r="AH10">
        <v>11.91</v>
      </c>
      <c r="AI10">
        <v>14.31</v>
      </c>
      <c r="AJ10">
        <v>10.76</v>
      </c>
      <c r="AK10">
        <v>10.05</v>
      </c>
      <c r="AL10">
        <v>11.4</v>
      </c>
      <c r="AM10">
        <v>12.73</v>
      </c>
    </row>
    <row r="11" spans="2:39" ht="12.75">
      <c r="B11" s="72"/>
      <c r="C11" s="95" t="s">
        <v>11</v>
      </c>
      <c r="D11" s="87">
        <f>COUNT(Q11:EC11)</f>
        <v>23</v>
      </c>
      <c r="E11" s="115">
        <f>AVERAGE(Q11:EC11)</f>
        <v>185.7782608695652</v>
      </c>
      <c r="F11" s="115">
        <f t="shared" si="0"/>
        <v>10.508319417944746</v>
      </c>
      <c r="G11" s="115">
        <f>STDEV(Q11:EC11)</f>
        <v>25.712783458847618</v>
      </c>
      <c r="H11" s="115">
        <f>QUARTILE(Q11:EC11,2)</f>
        <v>184</v>
      </c>
      <c r="I11" s="115">
        <f>MIN(Q11:EC11)</f>
        <v>131</v>
      </c>
      <c r="J11" s="115">
        <f>MAX(Q11:EC11)</f>
        <v>254</v>
      </c>
      <c r="K11" s="115">
        <f>PERCENTILE(Q11:EC11,0.95)</f>
        <v>225.59999999999997</v>
      </c>
      <c r="L11" s="105"/>
      <c r="N11" s="116" t="s">
        <v>93</v>
      </c>
      <c r="O11" s="108"/>
      <c r="P11" t="s">
        <v>93</v>
      </c>
      <c r="Q11">
        <v>181.8</v>
      </c>
      <c r="R11">
        <v>178.3</v>
      </c>
      <c r="S11">
        <v>204</v>
      </c>
      <c r="T11">
        <v>174.8</v>
      </c>
      <c r="U11">
        <v>131</v>
      </c>
      <c r="V11">
        <v>190</v>
      </c>
      <c r="W11">
        <v>184</v>
      </c>
      <c r="X11">
        <v>200</v>
      </c>
      <c r="Y11">
        <v>228</v>
      </c>
      <c r="Z11">
        <v>197</v>
      </c>
      <c r="AA11">
        <v>179</v>
      </c>
      <c r="AB11">
        <v>193</v>
      </c>
      <c r="AC11">
        <v>193</v>
      </c>
      <c r="AD11">
        <v>152</v>
      </c>
      <c r="AE11">
        <v>150</v>
      </c>
      <c r="AF11">
        <v>184</v>
      </c>
      <c r="AG11">
        <v>203</v>
      </c>
      <c r="AH11">
        <v>202</v>
      </c>
      <c r="AI11">
        <v>160</v>
      </c>
      <c r="AJ11">
        <v>184</v>
      </c>
      <c r="AK11">
        <v>254</v>
      </c>
      <c r="AL11">
        <v>165</v>
      </c>
      <c r="AM11">
        <v>185</v>
      </c>
    </row>
    <row r="12" spans="2:39" ht="12.75">
      <c r="B12" s="68" t="s">
        <v>105</v>
      </c>
      <c r="C12" s="4" t="s">
        <v>12</v>
      </c>
      <c r="D12" s="81">
        <f>COUNT(Q12:EC12)</f>
        <v>23</v>
      </c>
      <c r="E12" s="82">
        <f>AVERAGE(Q12:EC12)</f>
        <v>5.415217391304348</v>
      </c>
      <c r="F12" s="82">
        <f t="shared" si="0"/>
        <v>3.493037307929014</v>
      </c>
      <c r="G12" s="82">
        <f>STDEV(Q12:EC12)</f>
        <v>8.54710523540797</v>
      </c>
      <c r="H12" s="82">
        <f>QUARTILE(Q12:EC12,2)</f>
        <v>2.7</v>
      </c>
      <c r="I12" s="82">
        <f>MIN(Q12:EC12)</f>
        <v>0.86</v>
      </c>
      <c r="J12" s="82">
        <f>MAX(Q12:EC12)</f>
        <v>42.2</v>
      </c>
      <c r="K12" s="82">
        <f>PERCENTILE(Q12:EC12,0.95)</f>
        <v>10.842999999999998</v>
      </c>
      <c r="L12" s="102" t="str">
        <f>IF(H12&lt;1,"A",IF(H12&lt;2,"B",IF(H12&lt;3,"C",IF(H12&lt;5,"D","E"))))</f>
        <v>C</v>
      </c>
      <c r="N12" s="116" t="s">
        <v>94</v>
      </c>
      <c r="O12" s="108"/>
      <c r="P12" t="s">
        <v>94</v>
      </c>
      <c r="Q12">
        <v>3.76</v>
      </c>
      <c r="R12">
        <v>7.85</v>
      </c>
      <c r="S12">
        <v>1.58</v>
      </c>
      <c r="T12">
        <v>0.94</v>
      </c>
      <c r="U12">
        <v>9.43</v>
      </c>
      <c r="V12">
        <v>1.04</v>
      </c>
      <c r="W12">
        <v>2.91</v>
      </c>
      <c r="X12">
        <v>1.99</v>
      </c>
      <c r="Y12">
        <v>3.08</v>
      </c>
      <c r="Z12">
        <v>0.86</v>
      </c>
      <c r="AA12">
        <v>1.81</v>
      </c>
      <c r="AB12">
        <v>3.41</v>
      </c>
      <c r="AC12">
        <v>2.7</v>
      </c>
      <c r="AD12">
        <v>42.2</v>
      </c>
      <c r="AE12">
        <v>11</v>
      </c>
      <c r="AF12">
        <v>2.34</v>
      </c>
      <c r="AG12">
        <v>5.57</v>
      </c>
      <c r="AH12">
        <v>1.53</v>
      </c>
      <c r="AI12">
        <v>2.31</v>
      </c>
      <c r="AJ12">
        <v>2.62</v>
      </c>
      <c r="AK12">
        <v>0.87</v>
      </c>
      <c r="AL12">
        <v>8.99</v>
      </c>
      <c r="AM12">
        <v>5.76</v>
      </c>
    </row>
    <row r="13" spans="2:39" ht="12.75">
      <c r="B13" s="71"/>
      <c r="C13" s="6" t="s">
        <v>13</v>
      </c>
      <c r="D13" s="81">
        <f>COUNT(Q13:EC13)</f>
        <v>23</v>
      </c>
      <c r="E13" s="44">
        <f>AVERAGE(Q13:EC13)</f>
        <v>2.145652173913043</v>
      </c>
      <c r="F13" s="44">
        <f t="shared" si="0"/>
        <v>0.6282175150644786</v>
      </c>
      <c r="G13" s="44">
        <f>STDEV(Q13:EC13)</f>
        <v>1.537184043180483</v>
      </c>
      <c r="H13" s="44">
        <f>QUARTILE(Q13:EC13,2)</f>
        <v>1.5</v>
      </c>
      <c r="I13" s="44">
        <f>MIN(Q13:EC13)</f>
        <v>0.25</v>
      </c>
      <c r="J13" s="44">
        <f>MAX(Q13:EC13)</f>
        <v>6.1</v>
      </c>
      <c r="K13" s="44">
        <f>PERCENTILE(Q13:EC13,0.95)</f>
        <v>4.85</v>
      </c>
      <c r="L13" s="102" t="str">
        <f>IF(H13&gt;6,"A",IF(H13&gt;4,"B",IF(H13&gt;2.5,"C",IF(H13&gt;0.6,"D","E"))))</f>
        <v>D</v>
      </c>
      <c r="N13" s="116" t="s">
        <v>13</v>
      </c>
      <c r="O13" s="108"/>
      <c r="P13" t="s">
        <v>13</v>
      </c>
      <c r="Q13">
        <v>1.15</v>
      </c>
      <c r="R13">
        <v>0.45</v>
      </c>
      <c r="S13">
        <v>2.6</v>
      </c>
      <c r="T13">
        <v>3.9</v>
      </c>
      <c r="U13">
        <v>1.4</v>
      </c>
      <c r="V13">
        <v>4</v>
      </c>
      <c r="W13">
        <v>1.9</v>
      </c>
      <c r="X13">
        <v>2.5</v>
      </c>
      <c r="Y13">
        <v>1</v>
      </c>
      <c r="Z13">
        <v>6.1</v>
      </c>
      <c r="AA13">
        <v>2.7</v>
      </c>
      <c r="AB13">
        <v>1.4</v>
      </c>
      <c r="AC13">
        <v>1.9</v>
      </c>
      <c r="AD13">
        <v>0.25</v>
      </c>
      <c r="AE13">
        <v>1</v>
      </c>
      <c r="AF13">
        <v>1.5</v>
      </c>
      <c r="AG13">
        <v>1.15</v>
      </c>
      <c r="AH13">
        <v>4.4</v>
      </c>
      <c r="AI13">
        <v>1.9</v>
      </c>
      <c r="AJ13">
        <v>1.3</v>
      </c>
      <c r="AK13">
        <v>4.9</v>
      </c>
      <c r="AL13">
        <v>0.6</v>
      </c>
      <c r="AM13">
        <v>1.35</v>
      </c>
    </row>
    <row r="14" spans="2:39" ht="12.75">
      <c r="B14" s="72"/>
      <c r="C14" s="95" t="s">
        <v>14</v>
      </c>
      <c r="D14" s="87">
        <f>COUNT(Q14:EC14)</f>
        <v>23</v>
      </c>
      <c r="E14" s="115">
        <f>AVERAGE(Q14:EC14)</f>
        <v>4.8130434782608695</v>
      </c>
      <c r="F14" s="115">
        <f t="shared" si="0"/>
        <v>2.9767790768788145</v>
      </c>
      <c r="G14" s="115">
        <f>STDEV(Q14:EC14)</f>
        <v>7.283874115770216</v>
      </c>
      <c r="H14" s="115">
        <f>QUARTILE(Q14:EC14,2)</f>
        <v>2</v>
      </c>
      <c r="I14" s="115">
        <f>MIN(Q14:EC14)</f>
        <v>0.4</v>
      </c>
      <c r="J14" s="115">
        <f>MAX(Q14:EC14)</f>
        <v>28</v>
      </c>
      <c r="K14" s="115">
        <f>PERCENTILE(Q14:EC14,0.95)</f>
        <v>23.59999999999998</v>
      </c>
      <c r="L14" s="102"/>
      <c r="N14" s="116" t="s">
        <v>95</v>
      </c>
      <c r="O14" s="108"/>
      <c r="P14" t="s">
        <v>95</v>
      </c>
      <c r="Q14">
        <v>3</v>
      </c>
      <c r="R14">
        <v>28</v>
      </c>
      <c r="S14">
        <v>2</v>
      </c>
      <c r="T14">
        <v>1</v>
      </c>
      <c r="U14">
        <v>4</v>
      </c>
      <c r="V14">
        <v>0.4</v>
      </c>
      <c r="W14">
        <v>1</v>
      </c>
      <c r="X14">
        <v>1</v>
      </c>
      <c r="Y14">
        <v>7</v>
      </c>
      <c r="Z14">
        <v>0.6</v>
      </c>
      <c r="AA14">
        <v>1</v>
      </c>
      <c r="AB14">
        <v>2</v>
      </c>
      <c r="AC14">
        <v>2</v>
      </c>
      <c r="AD14">
        <v>25</v>
      </c>
      <c r="AE14">
        <v>11</v>
      </c>
      <c r="AF14">
        <v>3</v>
      </c>
      <c r="AG14">
        <v>3</v>
      </c>
      <c r="AH14">
        <v>0.7</v>
      </c>
      <c r="AI14">
        <v>2</v>
      </c>
      <c r="AJ14">
        <v>2</v>
      </c>
      <c r="AK14">
        <v>1</v>
      </c>
      <c r="AL14">
        <v>6</v>
      </c>
      <c r="AM14">
        <v>4</v>
      </c>
    </row>
    <row r="15" spans="2:39" ht="12.75">
      <c r="B15" s="208" t="s">
        <v>267</v>
      </c>
      <c r="C15" s="8" t="s">
        <v>268</v>
      </c>
      <c r="D15" s="81">
        <f>COUNT(Q15:EC15)</f>
        <v>23</v>
      </c>
      <c r="E15" s="40">
        <f>AVERAGE(Q15:EC15)</f>
        <v>848.3478260869565</v>
      </c>
      <c r="F15" s="40">
        <f t="shared" si="0"/>
        <v>458.6476718769571</v>
      </c>
      <c r="G15" s="40">
        <f>STDEV(Q15:EC15)</f>
        <v>1122.2639702727395</v>
      </c>
      <c r="H15" s="40">
        <f>QUARTILE(Q15:EC15,2)</f>
        <v>420</v>
      </c>
      <c r="I15" s="40">
        <f>MIN(Q15:EC15)</f>
        <v>15</v>
      </c>
      <c r="J15" s="40">
        <f>MAX(Q15:EC15)</f>
        <v>4300</v>
      </c>
      <c r="K15" s="40">
        <f>PERCENTILE(Q15:EC15,0.95)</f>
        <v>2879.9999999999995</v>
      </c>
      <c r="L15" s="106" t="str">
        <f>IF(H15&lt;10,"A",IF(H15&lt;130,"B",IF(H15&lt;260,"C",IF(H15&lt;550,"D","E"))))</f>
        <v>D</v>
      </c>
      <c r="N15" s="116" t="s">
        <v>255</v>
      </c>
      <c r="O15" s="108"/>
      <c r="P15" t="s">
        <v>255</v>
      </c>
      <c r="Q15">
        <v>420</v>
      </c>
      <c r="R15">
        <v>2700</v>
      </c>
      <c r="S15">
        <v>460</v>
      </c>
      <c r="T15">
        <v>15</v>
      </c>
      <c r="U15">
        <v>300</v>
      </c>
      <c r="V15">
        <v>70</v>
      </c>
      <c r="W15">
        <v>190</v>
      </c>
      <c r="X15">
        <v>460</v>
      </c>
      <c r="Y15">
        <v>240</v>
      </c>
      <c r="Z15">
        <v>30</v>
      </c>
      <c r="AA15">
        <v>30</v>
      </c>
      <c r="AB15">
        <v>435</v>
      </c>
      <c r="AC15">
        <v>1600</v>
      </c>
      <c r="AD15">
        <v>2900</v>
      </c>
      <c r="AE15">
        <v>345</v>
      </c>
      <c r="AF15">
        <v>1900</v>
      </c>
      <c r="AG15">
        <v>4300</v>
      </c>
      <c r="AH15">
        <v>480</v>
      </c>
      <c r="AI15">
        <v>137</v>
      </c>
      <c r="AJ15">
        <v>720</v>
      </c>
      <c r="AK15">
        <v>1400</v>
      </c>
      <c r="AL15">
        <v>230</v>
      </c>
      <c r="AM15">
        <v>150</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78.54166666666667</v>
      </c>
      <c r="F17" s="44">
        <f>CONFIDENCE(0.05,G17,D17)</f>
        <v>5.638682553627725</v>
      </c>
      <c r="G17" s="44">
        <f>STDEV(Q17:EC17)</f>
        <v>7.047014734386977</v>
      </c>
      <c r="H17" s="44">
        <f>QUARTILE(Q17:EC17,2)</f>
        <v>76.625</v>
      </c>
      <c r="I17" s="44">
        <f>MIN(Q17:EC17)</f>
        <v>70</v>
      </c>
      <c r="J17" s="44">
        <f>MAX(Q17:EC17)</f>
        <v>91</v>
      </c>
      <c r="K17" s="44">
        <f>PERCENTILE(Q17:EC17,0.95)</f>
        <v>88.5</v>
      </c>
      <c r="L17" s="102" t="str">
        <f>IF(H17&gt;120,"A",IF(H17&gt;100,"B",IF(H17&gt;80,"C",IF(H17&gt;60,"D","E"))))</f>
        <v>D</v>
      </c>
      <c r="N17" s="116" t="s">
        <v>17</v>
      </c>
      <c r="O17" s="108"/>
      <c r="P17" t="s">
        <v>17</v>
      </c>
      <c r="Q17">
        <v>70</v>
      </c>
      <c r="U17">
        <v>91</v>
      </c>
      <c r="X17">
        <v>77</v>
      </c>
      <c r="AB17">
        <v>81</v>
      </c>
      <c r="AF17">
        <v>76</v>
      </c>
      <c r="AJ17">
        <v>76.25</v>
      </c>
    </row>
    <row r="18" spans="2:36" ht="12.75">
      <c r="B18" s="74"/>
      <c r="C18" s="96" t="s">
        <v>18</v>
      </c>
      <c r="D18" s="81">
        <f>COUNT(Q18:EC18)</f>
        <v>6</v>
      </c>
      <c r="E18" s="44">
        <f>AVERAGE(Q18:EC18)</f>
        <v>3.4633333333333334</v>
      </c>
      <c r="F18" s="44">
        <f>CONFIDENCE(0.05,G18,D18)</f>
        <v>0.31366228444866434</v>
      </c>
      <c r="G18" s="44">
        <f>STDEV(Q18:EC18)</f>
        <v>0.39200340134578704</v>
      </c>
      <c r="H18" s="44">
        <f>QUARTILE(Q18:EC18,2)</f>
        <v>3.585</v>
      </c>
      <c r="I18" s="44">
        <f>MIN(Q18:EC18)</f>
        <v>2.93</v>
      </c>
      <c r="J18" s="44">
        <f>MAX(Q18:EC18)</f>
        <v>3.97</v>
      </c>
      <c r="K18" s="44">
        <f>PERCENTILE(Q18:EC18,0.95)</f>
        <v>3.89</v>
      </c>
      <c r="L18" s="105" t="str">
        <f>IF(H18&gt;6,"A",IF(H18&gt;5,"B",IF(H18&gt;4,"C",IF(H18&gt;3,"D","E"))))</f>
        <v>D</v>
      </c>
      <c r="N18" s="116" t="s">
        <v>18</v>
      </c>
      <c r="O18" s="108"/>
      <c r="P18" t="s">
        <v>18</v>
      </c>
      <c r="Q18">
        <v>3.65</v>
      </c>
      <c r="U18">
        <v>2.93</v>
      </c>
      <c r="X18">
        <v>3.59</v>
      </c>
      <c r="AB18">
        <v>3.06</v>
      </c>
      <c r="AF18">
        <v>3.97</v>
      </c>
      <c r="AJ18">
        <v>3.58</v>
      </c>
    </row>
    <row r="19" spans="2:36" ht="12.75">
      <c r="B19" s="71" t="s">
        <v>106</v>
      </c>
      <c r="C19" s="7" t="s">
        <v>19</v>
      </c>
      <c r="D19" s="86">
        <f>COUNT(Q19:EC19)</f>
        <v>7</v>
      </c>
      <c r="E19" s="113">
        <f>AVERAGE(Q19:EC19)</f>
        <v>4.741142857142856</v>
      </c>
      <c r="F19" s="113">
        <f>CONFIDENCE(0.05,G19,D19)</f>
        <v>2.4387154961071613</v>
      </c>
      <c r="G19" s="113">
        <f>STDEV(Q19:EC19)</f>
        <v>3.292016981961638</v>
      </c>
      <c r="H19" s="113">
        <f>QUARTILE(Q19:EC19,2)</f>
        <v>5.298</v>
      </c>
      <c r="I19" s="113">
        <f>MIN(Q19:EC19)</f>
        <v>1.2</v>
      </c>
      <c r="J19" s="113">
        <f>MAX(Q19:EC19)</f>
        <v>8.95</v>
      </c>
      <c r="K19" s="113">
        <f>PERCENTILE(Q19:EC19,0.95)</f>
        <v>8.514999999999999</v>
      </c>
      <c r="L19" s="102" t="str">
        <f>IF(H19&gt;8,"A",IF(H19&gt;6,"B",IF(H19&gt;4,"C",IF(H19&gt;2,"D","E"))))</f>
        <v>C</v>
      </c>
      <c r="N19" s="116" t="s">
        <v>96</v>
      </c>
      <c r="O19" s="108"/>
      <c r="P19" t="s">
        <v>96</v>
      </c>
      <c r="R19">
        <v>1.36</v>
      </c>
      <c r="S19">
        <v>1.68</v>
      </c>
      <c r="T19">
        <v>8.95</v>
      </c>
      <c r="X19">
        <v>7.2</v>
      </c>
      <c r="AB19">
        <v>1.2</v>
      </c>
      <c r="AF19">
        <v>7.5</v>
      </c>
      <c r="AJ19">
        <v>5.298</v>
      </c>
    </row>
    <row r="20" spans="2:36" ht="12.75">
      <c r="B20" s="72"/>
      <c r="C20" s="97" t="s">
        <v>122</v>
      </c>
      <c r="D20" s="87">
        <f>COUNT(Q20:EC20)</f>
        <v>4</v>
      </c>
      <c r="E20" s="114">
        <f>AVERAGE(Q20:EC20)</f>
        <v>33.7</v>
      </c>
      <c r="F20" s="114">
        <f>CONFIDENCE(0.05,G20,D20)</f>
        <v>44.20787003008365</v>
      </c>
      <c r="G20" s="114">
        <f>STDEV(Q20:EC20)</f>
        <v>45.11090038264957</v>
      </c>
      <c r="H20" s="114">
        <f>QUARTILE(Q20:EC20,2)</f>
        <v>19.150000000000002</v>
      </c>
      <c r="I20" s="114">
        <f>MIN(Q20:EC20)</f>
        <v>0</v>
      </c>
      <c r="J20" s="114">
        <f>MAX(Q20:EC20)</f>
        <v>96.5</v>
      </c>
      <c r="K20" s="114">
        <f>PERCENTILE(Q20:EC20,0.95)</f>
        <v>87.49999999999997</v>
      </c>
      <c r="L20" s="105"/>
      <c r="N20" s="116" t="s">
        <v>97</v>
      </c>
      <c r="O20" s="108"/>
      <c r="P20" t="s">
        <v>97</v>
      </c>
      <c r="X20">
        <v>1.8</v>
      </c>
      <c r="AB20">
        <v>96.5</v>
      </c>
      <c r="AF20">
        <v>0</v>
      </c>
      <c r="AJ20">
        <v>36.5</v>
      </c>
    </row>
    <row r="21" spans="2:15" ht="12.75">
      <c r="B21" s="71" t="s">
        <v>112</v>
      </c>
      <c r="C21" s="118" t="s">
        <v>21</v>
      </c>
      <c r="D21">
        <v>2</v>
      </c>
      <c r="E21" s="157">
        <v>0.475</v>
      </c>
      <c r="I21">
        <v>0.05</v>
      </c>
      <c r="J21">
        <v>0.9</v>
      </c>
      <c r="K21" s="143"/>
      <c r="L21" s="144" t="str">
        <f>IF(E21&gt;=H52,"E","A - D")</f>
        <v>A - D</v>
      </c>
      <c r="O21" s="108"/>
    </row>
    <row r="22" spans="2:15" ht="12.75">
      <c r="B22" s="73" t="s">
        <v>111</v>
      </c>
      <c r="C22" s="122" t="s">
        <v>22</v>
      </c>
      <c r="D22">
        <v>2</v>
      </c>
      <c r="E22" s="157">
        <v>72.5</v>
      </c>
      <c r="I22">
        <v>50</v>
      </c>
      <c r="J22">
        <v>95</v>
      </c>
      <c r="K22" s="145"/>
      <c r="L22" s="144" t="str">
        <f>IF(E22&gt;=H53,"E","A - D")</f>
        <v>E</v>
      </c>
      <c r="N22" s="111"/>
      <c r="O22" s="108"/>
    </row>
    <row r="23" spans="2:15" ht="12.75">
      <c r="B23" s="73"/>
      <c r="C23" s="122" t="s">
        <v>23</v>
      </c>
      <c r="D23">
        <v>2</v>
      </c>
      <c r="E23" s="157">
        <v>88</v>
      </c>
      <c r="I23">
        <v>56</v>
      </c>
      <c r="J23">
        <v>120</v>
      </c>
      <c r="K23" s="145"/>
      <c r="L23" s="144" t="str">
        <f>IF(E23&gt;=H54,"E","A - D")</f>
        <v>E</v>
      </c>
      <c r="N23" s="111"/>
      <c r="O23" s="108"/>
    </row>
    <row r="24" spans="2:15" ht="12.75">
      <c r="B24" s="73"/>
      <c r="C24" s="122" t="s">
        <v>24</v>
      </c>
      <c r="D24">
        <v>2</v>
      </c>
      <c r="E24" s="157">
        <v>1650</v>
      </c>
      <c r="I24">
        <v>800</v>
      </c>
      <c r="J24">
        <v>2500</v>
      </c>
      <c r="K24" s="145"/>
      <c r="L24" s="144" t="str">
        <f>IF(E24&gt;=H55,"E","A - D")</f>
        <v>E</v>
      </c>
      <c r="N24" s="111"/>
      <c r="O24" s="108"/>
    </row>
    <row r="25" spans="2:15" ht="12.75">
      <c r="B25" s="71"/>
      <c r="C25" s="122"/>
      <c r="K25" s="145"/>
      <c r="L25" s="144"/>
      <c r="O25" s="108"/>
    </row>
    <row r="26" spans="2:15" ht="12.75">
      <c r="B26" s="71"/>
      <c r="C26" s="122" t="s">
        <v>28</v>
      </c>
      <c r="D26">
        <v>3</v>
      </c>
      <c r="E26" s="23">
        <v>0.07333333333333333</v>
      </c>
      <c r="F26" s="23"/>
      <c r="G26" s="23"/>
      <c r="H26" s="23"/>
      <c r="I26" s="23">
        <v>0.02</v>
      </c>
      <c r="J26" s="23">
        <v>0.15</v>
      </c>
      <c r="K26" s="145"/>
      <c r="L26" s="144" t="str">
        <f aca="true" t="shared" si="1" ref="L26:L40">IF(E26&gt;=H57,"E","A - D")</f>
        <v>E</v>
      </c>
      <c r="O26" s="108"/>
    </row>
    <row r="27" spans="2:15" ht="12.75">
      <c r="B27" s="73"/>
      <c r="C27" s="122" t="s">
        <v>29</v>
      </c>
      <c r="D27">
        <v>3</v>
      </c>
      <c r="E27" s="23">
        <v>0.12996058587505477</v>
      </c>
      <c r="F27" s="23"/>
      <c r="G27" s="23"/>
      <c r="H27" s="23"/>
      <c r="I27" s="23">
        <v>0.09</v>
      </c>
      <c r="J27" s="23">
        <v>0.2</v>
      </c>
      <c r="K27" s="143"/>
      <c r="L27" s="144" t="str">
        <f t="shared" si="1"/>
        <v>A - D</v>
      </c>
      <c r="O27" s="108"/>
    </row>
    <row r="28" spans="2:15" ht="12.75">
      <c r="B28" s="73"/>
      <c r="C28" s="122" t="s">
        <v>30</v>
      </c>
      <c r="D28">
        <v>3</v>
      </c>
      <c r="E28" s="23">
        <v>0.07156283125613536</v>
      </c>
      <c r="F28" s="23"/>
      <c r="G28" s="23"/>
      <c r="H28" s="23"/>
      <c r="I28" s="23">
        <v>0.014688493768406518</v>
      </c>
      <c r="J28" s="23">
        <v>0.15</v>
      </c>
      <c r="K28" s="143"/>
      <c r="L28" s="144" t="str">
        <f t="shared" si="1"/>
        <v>A - D</v>
      </c>
      <c r="O28" s="108"/>
    </row>
    <row r="29" spans="2:15" ht="12.75">
      <c r="B29" s="127"/>
      <c r="C29" s="128" t="s">
        <v>31</v>
      </c>
      <c r="E29" s="23">
        <v>0.27485675046452346</v>
      </c>
      <c r="F29" s="23"/>
      <c r="G29" s="23"/>
      <c r="H29" s="23"/>
      <c r="I29" s="23"/>
      <c r="J29" s="23"/>
      <c r="K29" s="147"/>
      <c r="L29" s="144" t="str">
        <f t="shared" si="1"/>
        <v>A - D</v>
      </c>
      <c r="O29" s="108"/>
    </row>
    <row r="30" spans="2:15" ht="12.75">
      <c r="B30" s="73"/>
      <c r="C30" s="122" t="s">
        <v>32</v>
      </c>
      <c r="D30">
        <v>3</v>
      </c>
      <c r="E30" s="23">
        <v>0.20444140882239903</v>
      </c>
      <c r="F30" s="23"/>
      <c r="G30" s="23"/>
      <c r="H30" s="23"/>
      <c r="I30" s="23">
        <v>0.14</v>
      </c>
      <c r="J30" s="23">
        <v>0.3</v>
      </c>
      <c r="K30" s="143"/>
      <c r="L30" s="144" t="str">
        <f t="shared" si="1"/>
        <v>A - D</v>
      </c>
      <c r="O30" s="108"/>
    </row>
    <row r="31" spans="2:15" ht="12.75">
      <c r="B31" s="81"/>
      <c r="C31" s="122" t="s">
        <v>33</v>
      </c>
      <c r="D31">
        <v>3</v>
      </c>
      <c r="E31" s="23">
        <v>0.20719114381749068</v>
      </c>
      <c r="F31" s="23"/>
      <c r="G31" s="23"/>
      <c r="H31" s="23"/>
      <c r="I31" s="23">
        <v>0.16</v>
      </c>
      <c r="J31" s="23">
        <v>0.3</v>
      </c>
      <c r="K31" s="143"/>
      <c r="L31" s="144" t="str">
        <f t="shared" si="1"/>
        <v>A - D</v>
      </c>
      <c r="O31" s="108"/>
    </row>
    <row r="32" spans="2:15" ht="12.75">
      <c r="B32" s="81"/>
      <c r="C32" s="122" t="s">
        <v>34</v>
      </c>
      <c r="D32">
        <v>3</v>
      </c>
      <c r="E32" s="23">
        <v>0.10487645752699601</v>
      </c>
      <c r="F32" s="23"/>
      <c r="G32" s="23"/>
      <c r="H32" s="23"/>
      <c r="I32" s="23">
        <v>0.06462937258098868</v>
      </c>
      <c r="J32" s="23">
        <v>0.15</v>
      </c>
      <c r="K32" s="143"/>
      <c r="L32" s="144" t="str">
        <f t="shared" si="1"/>
        <v>A - D</v>
      </c>
      <c r="O32" s="108"/>
    </row>
    <row r="33" spans="2:15" ht="12.75">
      <c r="B33" s="81"/>
      <c r="C33" s="122" t="s">
        <v>35</v>
      </c>
      <c r="D33">
        <v>3</v>
      </c>
      <c r="E33" s="23">
        <v>0.13820979086032936</v>
      </c>
      <c r="F33" s="23"/>
      <c r="G33" s="23"/>
      <c r="H33" s="23"/>
      <c r="I33" s="23">
        <v>0.06462937258098868</v>
      </c>
      <c r="J33" s="23">
        <v>0.2</v>
      </c>
      <c r="K33" s="150"/>
      <c r="L33" s="144" t="str">
        <f t="shared" si="1"/>
        <v>A - D</v>
      </c>
      <c r="O33" s="108"/>
    </row>
    <row r="34" spans="2:15" ht="12.75">
      <c r="B34" s="81"/>
      <c r="C34" s="122" t="s">
        <v>36</v>
      </c>
      <c r="D34">
        <v>3</v>
      </c>
      <c r="E34" s="23">
        <v>0.09666666666666668</v>
      </c>
      <c r="F34" s="23"/>
      <c r="G34" s="23"/>
      <c r="H34" s="23"/>
      <c r="I34" s="23">
        <v>0.02</v>
      </c>
      <c r="J34" s="23">
        <v>0.2</v>
      </c>
      <c r="K34" s="151"/>
      <c r="L34" s="144" t="str">
        <f t="shared" si="1"/>
        <v>A - D</v>
      </c>
      <c r="O34" s="108"/>
    </row>
    <row r="35" spans="2:15" ht="12.75">
      <c r="B35" s="81"/>
      <c r="C35" s="122" t="s">
        <v>37</v>
      </c>
      <c r="D35">
        <v>3</v>
      </c>
      <c r="E35" s="23">
        <v>0.09508412834805832</v>
      </c>
      <c r="F35" s="23"/>
      <c r="G35" s="23"/>
      <c r="H35" s="23"/>
      <c r="I35" s="23">
        <v>0.03525238504417564</v>
      </c>
      <c r="J35" s="23">
        <v>0.15</v>
      </c>
      <c r="K35" s="147"/>
      <c r="L35" s="144" t="str">
        <f t="shared" si="1"/>
        <v>A - D</v>
      </c>
      <c r="O35" s="108"/>
    </row>
    <row r="36" spans="2:15" ht="12.75">
      <c r="B36" s="81"/>
      <c r="C36" s="122" t="s">
        <v>38</v>
      </c>
      <c r="D36">
        <v>3</v>
      </c>
      <c r="E36" s="23">
        <v>0.1450644212855858</v>
      </c>
      <c r="F36" s="23"/>
      <c r="G36" s="23"/>
      <c r="H36" s="23"/>
      <c r="I36" s="23">
        <v>0.0851932638567578</v>
      </c>
      <c r="J36" s="23">
        <v>0.2</v>
      </c>
      <c r="K36" s="147"/>
      <c r="L36" s="144" t="str">
        <f t="shared" si="1"/>
        <v>A - D</v>
      </c>
      <c r="O36" s="108"/>
    </row>
    <row r="37" spans="2:15" ht="12.75">
      <c r="B37" s="81"/>
      <c r="C37" s="122" t="s">
        <v>39</v>
      </c>
      <c r="D37">
        <v>3</v>
      </c>
      <c r="E37" s="23">
        <v>0.05666666666666668</v>
      </c>
      <c r="F37" s="23"/>
      <c r="G37" s="23"/>
      <c r="H37" s="23"/>
      <c r="I37" s="23">
        <v>0</v>
      </c>
      <c r="J37" s="23">
        <v>0.15</v>
      </c>
      <c r="K37" s="147"/>
      <c r="L37" s="144" t="str">
        <f t="shared" si="1"/>
        <v>A - D</v>
      </c>
      <c r="O37" s="108"/>
    </row>
    <row r="38" spans="2:15" ht="12.75">
      <c r="B38" s="81"/>
      <c r="C38" s="122" t="s">
        <v>40</v>
      </c>
      <c r="D38">
        <v>3</v>
      </c>
      <c r="E38" s="23">
        <v>0.10291799169120874</v>
      </c>
      <c r="F38" s="23"/>
      <c r="G38" s="23"/>
      <c r="H38" s="23"/>
      <c r="I38" s="23">
        <v>0.05875397507362607</v>
      </c>
      <c r="J38" s="23">
        <v>0.15</v>
      </c>
      <c r="K38" s="147"/>
      <c r="L38" s="144"/>
      <c r="O38" s="108"/>
    </row>
    <row r="39" spans="2:15" ht="12.75">
      <c r="B39" s="81"/>
      <c r="C39" s="122" t="s">
        <v>41</v>
      </c>
      <c r="D39">
        <v>3</v>
      </c>
      <c r="E39" s="23">
        <v>0.1293966945992856</v>
      </c>
      <c r="F39" s="23"/>
      <c r="G39" s="23"/>
      <c r="H39" s="23"/>
      <c r="I39" s="23">
        <v>0.03819008379785695</v>
      </c>
      <c r="J39" s="23">
        <v>0.2</v>
      </c>
      <c r="K39" s="147"/>
      <c r="L39" s="144" t="str">
        <f t="shared" si="1"/>
        <v>E</v>
      </c>
      <c r="O39" s="108"/>
    </row>
    <row r="40" spans="2:15" ht="12.75">
      <c r="B40" s="127"/>
      <c r="C40" s="128" t="s">
        <v>42</v>
      </c>
      <c r="E40" s="23">
        <v>1.2805153702846868</v>
      </c>
      <c r="F40" s="23"/>
      <c r="G40" s="23"/>
      <c r="H40" s="23"/>
      <c r="I40" s="23"/>
      <c r="J40" s="23"/>
      <c r="K40" s="147"/>
      <c r="L40" s="144" t="str">
        <f t="shared" si="1"/>
        <v>A - D</v>
      </c>
      <c r="O40" s="108"/>
    </row>
    <row r="41" spans="2:15" ht="12.75">
      <c r="B41" s="127"/>
      <c r="C41" s="131" t="s">
        <v>43</v>
      </c>
      <c r="E41" s="23">
        <v>1.5553721207492102</v>
      </c>
      <c r="F41" s="23"/>
      <c r="G41" s="23"/>
      <c r="H41" s="23"/>
      <c r="I41" s="23"/>
      <c r="J41" s="23"/>
      <c r="K41" s="147"/>
      <c r="L41" s="144" t="str">
        <f>IF(E41&gt;=H72,"E","A - D")</f>
        <v>A - D</v>
      </c>
      <c r="O41" s="108"/>
    </row>
    <row r="42" spans="2:15" ht="12.75">
      <c r="B42" s="81"/>
      <c r="C42" s="122" t="s">
        <v>44</v>
      </c>
      <c r="D42">
        <v>3</v>
      </c>
      <c r="E42" s="23">
        <v>2.2635728047434043</v>
      </c>
      <c r="F42" s="23"/>
      <c r="G42" s="23"/>
      <c r="H42" s="23"/>
      <c r="I42" s="23">
        <v>0</v>
      </c>
      <c r="J42" s="23">
        <v>5.41</v>
      </c>
      <c r="K42" s="147"/>
      <c r="L42" s="152"/>
      <c r="O42" s="108"/>
    </row>
    <row r="43" spans="2:15" ht="13.5" thickBot="1">
      <c r="B43" s="83"/>
      <c r="C43" s="133"/>
      <c r="D43" s="134"/>
      <c r="E43" s="84"/>
      <c r="F43" s="84"/>
      <c r="G43" s="84"/>
      <c r="H43" s="84"/>
      <c r="I43" s="84"/>
      <c r="J43" s="84"/>
      <c r="K43" s="84"/>
      <c r="L43" s="135"/>
      <c r="O43" s="108"/>
    </row>
    <row r="44" spans="2:12" ht="12.75">
      <c r="B44" s="80"/>
      <c r="C44" s="89"/>
      <c r="D44" s="89"/>
      <c r="E44" s="89"/>
      <c r="F44" s="89"/>
      <c r="G44" s="89"/>
      <c r="H44" s="89"/>
      <c r="I44" s="89"/>
      <c r="J44" s="89"/>
      <c r="K44" s="89"/>
      <c r="L44" s="100"/>
    </row>
    <row r="45" spans="2:12" ht="12.75">
      <c r="B45" s="210" t="s">
        <v>119</v>
      </c>
      <c r="C45" s="211"/>
      <c r="D45" s="211"/>
      <c r="E45" s="211"/>
      <c r="F45" s="211"/>
      <c r="G45" s="76" t="str">
        <f>'Combined Score Calcs'!J10</f>
        <v>D</v>
      </c>
      <c r="H45" s="39"/>
      <c r="I45" s="39"/>
      <c r="J45" s="39"/>
      <c r="K45" s="99"/>
      <c r="L45" s="90"/>
    </row>
    <row r="46" spans="2:12" ht="13.5" thickBot="1">
      <c r="B46" s="83"/>
      <c r="C46" s="84"/>
      <c r="D46" s="84"/>
      <c r="E46" s="84"/>
      <c r="F46" s="84"/>
      <c r="G46" s="84"/>
      <c r="H46" s="84"/>
      <c r="I46" s="84"/>
      <c r="J46" s="84"/>
      <c r="K46" s="84"/>
      <c r="L46" s="91"/>
    </row>
    <row r="47" ht="12.75">
      <c r="L47" s="60"/>
    </row>
    <row r="48" ht="12.75">
      <c r="L48" s="60"/>
    </row>
    <row r="49" ht="12.75">
      <c r="L49" s="60"/>
    </row>
    <row r="50" ht="12.75">
      <c r="L50" s="60"/>
    </row>
    <row r="51" spans="7:12" ht="12.75">
      <c r="G51" t="s">
        <v>140</v>
      </c>
      <c r="H51" t="s">
        <v>141</v>
      </c>
      <c r="L51" s="60"/>
    </row>
    <row r="52" spans="7:12" ht="12.75">
      <c r="G52" s="118" t="s">
        <v>21</v>
      </c>
      <c r="H52" s="136">
        <v>1.5</v>
      </c>
      <c r="I52" s="137">
        <v>10</v>
      </c>
      <c r="L52" s="60"/>
    </row>
    <row r="53" spans="7:12" ht="12.75">
      <c r="G53" s="122" t="s">
        <v>22</v>
      </c>
      <c r="H53" s="137">
        <v>65</v>
      </c>
      <c r="I53" s="137">
        <v>270</v>
      </c>
      <c r="L53" s="60"/>
    </row>
    <row r="54" spans="7:12" ht="12.75">
      <c r="G54" s="122" t="s">
        <v>23</v>
      </c>
      <c r="H54" s="137">
        <v>50</v>
      </c>
      <c r="I54" s="137">
        <v>220</v>
      </c>
      <c r="L54" s="60"/>
    </row>
    <row r="55" spans="7:12" ht="12.75">
      <c r="G55" s="122" t="s">
        <v>24</v>
      </c>
      <c r="H55" s="137">
        <v>200</v>
      </c>
      <c r="I55" s="137">
        <v>210</v>
      </c>
      <c r="L55" s="60"/>
    </row>
    <row r="56" spans="7:12" ht="12.75">
      <c r="G56" s="122"/>
      <c r="H56" t="s">
        <v>137</v>
      </c>
      <c r="I56" t="s">
        <v>138</v>
      </c>
      <c r="L56" s="60"/>
    </row>
    <row r="57" spans="7:12" ht="12.75">
      <c r="G57" s="122" t="s">
        <v>28</v>
      </c>
      <c r="H57" s="138">
        <v>0.019</v>
      </c>
      <c r="I57" s="139">
        <v>0.54</v>
      </c>
      <c r="L57" s="60"/>
    </row>
    <row r="58" spans="7:12" ht="12.75">
      <c r="G58" s="122" t="s">
        <v>29</v>
      </c>
      <c r="H58" s="138">
        <v>0.24</v>
      </c>
      <c r="I58" s="139">
        <v>1.5</v>
      </c>
      <c r="L58" s="60"/>
    </row>
    <row r="59" spans="7:12" ht="12.75">
      <c r="G59" s="122" t="s">
        <v>30</v>
      </c>
      <c r="H59" s="138">
        <v>0.085</v>
      </c>
      <c r="I59" s="139">
        <v>1.1</v>
      </c>
      <c r="L59" s="60"/>
    </row>
    <row r="60" spans="7:12" ht="12.75">
      <c r="G60" s="128" t="s">
        <v>31</v>
      </c>
      <c r="H60" s="138">
        <v>0.552</v>
      </c>
      <c r="I60" s="139">
        <v>3.16</v>
      </c>
      <c r="L60" s="60"/>
    </row>
    <row r="61" spans="7:12" ht="12.75">
      <c r="G61" s="122" t="s">
        <v>32</v>
      </c>
      <c r="H61" s="138">
        <v>0.6</v>
      </c>
      <c r="I61" s="139">
        <v>5.1</v>
      </c>
      <c r="L61" s="60"/>
    </row>
    <row r="62" spans="7:12" ht="12.75">
      <c r="G62" s="122" t="s">
        <v>33</v>
      </c>
      <c r="H62" s="138">
        <v>0.665</v>
      </c>
      <c r="I62" s="139">
        <v>2.6</v>
      </c>
      <c r="L62" s="60"/>
    </row>
    <row r="63" spans="7:12" ht="12.75">
      <c r="G63" s="122" t="s">
        <v>34</v>
      </c>
      <c r="H63" s="138">
        <v>0.261</v>
      </c>
      <c r="I63" s="139">
        <v>1.6</v>
      </c>
      <c r="L63" s="60"/>
    </row>
    <row r="64" spans="7:12" ht="12.75">
      <c r="G64" s="122" t="s">
        <v>35</v>
      </c>
      <c r="H64" s="138">
        <v>0.384</v>
      </c>
      <c r="I64" s="139">
        <v>2.8</v>
      </c>
      <c r="L64" s="60"/>
    </row>
    <row r="65" spans="7:12" ht="12.75">
      <c r="G65" s="122" t="s">
        <v>36</v>
      </c>
      <c r="H65" s="138">
        <v>0.8</v>
      </c>
      <c r="I65" s="139">
        <v>8</v>
      </c>
      <c r="L65" s="60"/>
    </row>
    <row r="66" spans="7:9" ht="12.75">
      <c r="G66" s="122" t="s">
        <v>37</v>
      </c>
      <c r="H66" s="138">
        <v>0.8</v>
      </c>
      <c r="I66" s="139">
        <v>8</v>
      </c>
    </row>
    <row r="67" spans="7:9" ht="12.75">
      <c r="G67" s="122" t="s">
        <v>38</v>
      </c>
      <c r="H67" s="138">
        <v>0.43</v>
      </c>
      <c r="I67" s="139">
        <v>1.6</v>
      </c>
    </row>
    <row r="68" spans="7:9" ht="12.75">
      <c r="G68" s="122" t="s">
        <v>39</v>
      </c>
      <c r="H68" s="138">
        <v>0.063</v>
      </c>
      <c r="I68" s="139">
        <v>0.26</v>
      </c>
    </row>
    <row r="69" spans="7:9" ht="12.75">
      <c r="G69" s="122" t="s">
        <v>40</v>
      </c>
      <c r="H69" s="138" t="s">
        <v>139</v>
      </c>
      <c r="I69" s="139" t="s">
        <v>139</v>
      </c>
    </row>
    <row r="70" spans="7:9" ht="12.75">
      <c r="G70" s="122" t="s">
        <v>41</v>
      </c>
      <c r="H70" s="138">
        <v>0.069</v>
      </c>
      <c r="I70" s="139">
        <v>5.2</v>
      </c>
    </row>
    <row r="71" spans="7:9" ht="12.75">
      <c r="G71" s="128" t="s">
        <v>42</v>
      </c>
      <c r="H71" s="138">
        <v>1.7</v>
      </c>
      <c r="I71" s="139">
        <v>9.6</v>
      </c>
    </row>
    <row r="72" spans="7:9" ht="12.75">
      <c r="G72" s="131" t="s">
        <v>43</v>
      </c>
      <c r="H72" s="138">
        <v>4</v>
      </c>
      <c r="I72" s="139">
        <v>45</v>
      </c>
    </row>
    <row r="73" ht="12.75">
      <c r="G73" s="122" t="s">
        <v>44</v>
      </c>
    </row>
  </sheetData>
  <mergeCells count="1">
    <mergeCell ref="B45:F45"/>
  </mergeCells>
  <printOptions/>
  <pageMargins left="0.75" right="0.75" top="1" bottom="1" header="0.5" footer="0.5"/>
  <pageSetup horizontalDpi="600" verticalDpi="600" orientation="portrait" paperSize="133" r:id="rId1"/>
</worksheet>
</file>

<file path=xl/worksheets/sheet24.xml><?xml version="1.0" encoding="utf-8"?>
<worksheet xmlns="http://schemas.openxmlformats.org/spreadsheetml/2006/main" xmlns:r="http://schemas.openxmlformats.org/officeDocument/2006/relationships">
  <dimension ref="B1:AQ73"/>
  <sheetViews>
    <sheetView workbookViewId="0" topLeftCell="A1">
      <selection activeCell="B15" sqref="B15:C18"/>
    </sheetView>
  </sheetViews>
  <sheetFormatPr defaultColWidth="9.140625" defaultRowHeight="12.75"/>
  <cols>
    <col min="3" max="3" width="28.7109375" style="0" bestFit="1" customWidth="1"/>
    <col min="14" max="14" width="34.140625" style="0" customWidth="1"/>
    <col min="16" max="16" width="33.57421875" style="0" customWidth="1"/>
  </cols>
  <sheetData>
    <row r="1" spans="2:15" ht="15.75">
      <c r="B1" s="107" t="s">
        <v>136</v>
      </c>
      <c r="O1" s="109" t="s">
        <v>125</v>
      </c>
    </row>
    <row r="2" spans="12:39" ht="13.5" thickBot="1">
      <c r="L2" s="60"/>
      <c r="N2" s="116" t="s">
        <v>84</v>
      </c>
      <c r="O2" s="110"/>
      <c r="P2" t="s">
        <v>84</v>
      </c>
      <c r="Q2" t="s">
        <v>47</v>
      </c>
      <c r="R2" t="s">
        <v>47</v>
      </c>
      <c r="S2" t="s">
        <v>47</v>
      </c>
      <c r="T2" t="s">
        <v>47</v>
      </c>
      <c r="U2" t="s">
        <v>47</v>
      </c>
      <c r="V2" t="s">
        <v>47</v>
      </c>
      <c r="W2" t="s">
        <v>47</v>
      </c>
      <c r="X2" t="s">
        <v>47</v>
      </c>
      <c r="Y2" t="s">
        <v>47</v>
      </c>
      <c r="Z2" t="s">
        <v>47</v>
      </c>
      <c r="AA2" t="s">
        <v>47</v>
      </c>
      <c r="AB2" t="s">
        <v>47</v>
      </c>
      <c r="AC2" t="s">
        <v>47</v>
      </c>
      <c r="AD2" t="s">
        <v>47</v>
      </c>
      <c r="AE2" t="s">
        <v>47</v>
      </c>
      <c r="AF2" t="s">
        <v>47</v>
      </c>
      <c r="AG2" t="s">
        <v>47</v>
      </c>
      <c r="AH2" t="s">
        <v>47</v>
      </c>
      <c r="AI2" t="s">
        <v>47</v>
      </c>
      <c r="AJ2" t="s">
        <v>47</v>
      </c>
      <c r="AK2" t="s">
        <v>47</v>
      </c>
      <c r="AL2" t="s">
        <v>47</v>
      </c>
      <c r="AM2" t="s">
        <v>47</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36831.46805555555</v>
      </c>
      <c r="R3" s="64">
        <v>36917.40972222222</v>
      </c>
      <c r="S3" s="64">
        <v>37011.4375</v>
      </c>
      <c r="T3" s="64">
        <v>37106.427083333336</v>
      </c>
      <c r="U3" s="64">
        <v>37221.4375</v>
      </c>
      <c r="V3" s="64">
        <v>37383.416666666664</v>
      </c>
      <c r="W3" s="64">
        <v>37474.399305555555</v>
      </c>
      <c r="X3" s="64">
        <v>37585.43402777778</v>
      </c>
      <c r="Y3" s="64">
        <v>37648.40972222222</v>
      </c>
      <c r="Z3" s="64">
        <v>37746.42361111111</v>
      </c>
      <c r="AA3" s="64">
        <v>37837.416666666664</v>
      </c>
      <c r="AB3" s="64">
        <v>37949.489583333336</v>
      </c>
      <c r="AC3" s="64">
        <v>38027.430555555555</v>
      </c>
      <c r="AD3" s="64">
        <v>38111.416666666664</v>
      </c>
      <c r="AE3" s="64">
        <v>38202.38402777778</v>
      </c>
      <c r="AF3" s="64">
        <v>38335.399305555555</v>
      </c>
      <c r="AG3" s="64">
        <v>38393.36111111111</v>
      </c>
      <c r="AH3" s="64">
        <v>38477.410416666666</v>
      </c>
      <c r="AI3" s="64">
        <v>38593.41736111111</v>
      </c>
      <c r="AJ3" s="64">
        <v>38680.34722222222</v>
      </c>
      <c r="AK3" s="64">
        <v>38776.40555555555</v>
      </c>
      <c r="AL3" s="64">
        <v>38869.373611111114</v>
      </c>
      <c r="AM3" s="64">
        <v>38960.39861111111</v>
      </c>
      <c r="AN3" s="64"/>
      <c r="AO3" s="64"/>
      <c r="AP3" s="64"/>
      <c r="AQ3" s="64"/>
    </row>
    <row r="4" spans="2:39" ht="12.75">
      <c r="B4" s="68" t="s">
        <v>103</v>
      </c>
      <c r="C4" s="93" t="s">
        <v>4</v>
      </c>
      <c r="D4" s="81">
        <f>COUNT(Q4:EC4)</f>
        <v>20</v>
      </c>
      <c r="E4" s="82">
        <f>AVERAGE(Q4:EC4)</f>
        <v>0.31074999999999997</v>
      </c>
      <c r="F4" s="82">
        <f aca="true" t="shared" si="0" ref="F4:F15">CONFIDENCE(0.05,G4,D4)</f>
        <v>0.1440874807385239</v>
      </c>
      <c r="G4" s="82">
        <f>STDEV(Q4:EC4)</f>
        <v>0.3287707367884512</v>
      </c>
      <c r="H4" s="82">
        <f>QUARTILE(Q4:EC4,2)</f>
        <v>0.2</v>
      </c>
      <c r="I4" s="82">
        <f>MIN(Q4:EC4)</f>
        <v>0.055</v>
      </c>
      <c r="J4" s="82">
        <f>MAX(Q4:EC4)</f>
        <v>1.5</v>
      </c>
      <c r="K4" s="82">
        <f>PERCENTILE(Q4:EC4,0.95)</f>
        <v>0.8445000000000006</v>
      </c>
      <c r="L4" s="102" t="str">
        <f>IF((H4+H5)&lt;0.08,"A",IF((H4+H5)&lt;0.12,"B",IF((H4+H5)&lt;0.295,"C",IF((H4+H5)&lt;0.444,"D","E"))))</f>
        <v>C</v>
      </c>
      <c r="N4" s="116" t="s">
        <v>86</v>
      </c>
      <c r="O4" s="108"/>
      <c r="P4" t="s">
        <v>86</v>
      </c>
      <c r="R4">
        <v>0.26</v>
      </c>
      <c r="S4">
        <v>0.15</v>
      </c>
      <c r="V4">
        <v>0.13</v>
      </c>
      <c r="W4">
        <v>0.2</v>
      </c>
      <c r="X4">
        <v>0.22</v>
      </c>
      <c r="Y4">
        <v>0.22</v>
      </c>
      <c r="Z4">
        <v>0.12</v>
      </c>
      <c r="AA4">
        <v>0.14</v>
      </c>
      <c r="AB4">
        <v>0.2</v>
      </c>
      <c r="AC4">
        <v>0.29</v>
      </c>
      <c r="AD4">
        <v>0.32</v>
      </c>
      <c r="AE4">
        <v>0.81</v>
      </c>
      <c r="AF4">
        <v>0.13</v>
      </c>
      <c r="AG4">
        <v>0.18</v>
      </c>
      <c r="AH4">
        <v>0.055</v>
      </c>
      <c r="AI4">
        <v>0.5</v>
      </c>
      <c r="AJ4">
        <v>0.15</v>
      </c>
      <c r="AK4">
        <v>0.17</v>
      </c>
      <c r="AL4">
        <v>1.5</v>
      </c>
      <c r="AM4">
        <v>0.47</v>
      </c>
    </row>
    <row r="5" spans="2:39" ht="12.75">
      <c r="B5" s="69"/>
      <c r="C5" s="5" t="s">
        <v>5</v>
      </c>
      <c r="D5" s="73">
        <f>COUNT(Q5:EC5)</f>
        <v>18</v>
      </c>
      <c r="E5" s="112">
        <f>AVERAGE(Q5:EC5)</f>
        <v>0.007388888888888891</v>
      </c>
      <c r="F5" s="112">
        <f t="shared" si="0"/>
        <v>0.0014960151230167225</v>
      </c>
      <c r="G5" s="112">
        <f>STDEV(Q5:EC5)</f>
        <v>0.0032383526837846343</v>
      </c>
      <c r="H5" s="112">
        <f>QUARTILE(Q5:EC5,2)</f>
        <v>0.006</v>
      </c>
      <c r="I5" s="112">
        <f>MIN(Q5:EC5)</f>
        <v>0.005</v>
      </c>
      <c r="J5" s="112">
        <f>MAX(Q5:EC5)</f>
        <v>0.015</v>
      </c>
      <c r="K5" s="112">
        <f>PERCENTILE(Q5:EC5,0.95)</f>
        <v>0.01415</v>
      </c>
      <c r="L5" s="102"/>
      <c r="N5" s="116" t="s">
        <v>87</v>
      </c>
      <c r="O5" s="108"/>
      <c r="P5" t="s">
        <v>87</v>
      </c>
      <c r="V5">
        <v>0.006</v>
      </c>
      <c r="W5">
        <v>0.009</v>
      </c>
      <c r="X5">
        <v>0.014</v>
      </c>
      <c r="Y5">
        <v>0.01</v>
      </c>
      <c r="Z5">
        <v>0.007</v>
      </c>
      <c r="AA5">
        <v>0.005</v>
      </c>
      <c r="AB5">
        <v>0.011</v>
      </c>
      <c r="AC5">
        <v>0.015</v>
      </c>
      <c r="AD5">
        <v>0.005</v>
      </c>
      <c r="AE5">
        <v>0.005</v>
      </c>
      <c r="AF5">
        <v>0.006</v>
      </c>
      <c r="AG5">
        <v>0.006</v>
      </c>
      <c r="AH5">
        <v>0.005</v>
      </c>
      <c r="AI5">
        <v>0.005</v>
      </c>
      <c r="AJ5">
        <v>0.005</v>
      </c>
      <c r="AK5">
        <v>0.009</v>
      </c>
      <c r="AL5">
        <v>0.005</v>
      </c>
      <c r="AM5">
        <v>0.005</v>
      </c>
    </row>
    <row r="6" spans="2:39" ht="12.75">
      <c r="B6" s="70"/>
      <c r="C6" s="94" t="s">
        <v>6</v>
      </c>
      <c r="D6" s="73">
        <f>COUNT(Q6:EC6)</f>
        <v>23</v>
      </c>
      <c r="E6" s="112">
        <f>AVERAGE(Q6:EC6)</f>
        <v>0.01156521739130435</v>
      </c>
      <c r="F6" s="112">
        <f t="shared" si="0"/>
        <v>0.0022344516549865625</v>
      </c>
      <c r="G6" s="112">
        <f>STDEV(Q6:EC6)</f>
        <v>0.005467474794858322</v>
      </c>
      <c r="H6" s="112">
        <f>QUARTILE(Q6:EC6,2)</f>
        <v>0.01</v>
      </c>
      <c r="I6" s="112">
        <f>MIN(Q6:EC6)</f>
        <v>0.004</v>
      </c>
      <c r="J6" s="112">
        <f>MAX(Q6:EC6)</f>
        <v>0.021</v>
      </c>
      <c r="K6" s="112">
        <f>PERCENTILE(Q6:EC6,0.95)</f>
        <v>0.02</v>
      </c>
      <c r="L6" s="102" t="str">
        <f>IF((H6)&lt;0.005,"A",IF((H6)&lt;0.008,"B",IF((H6)&lt;0.026,"C",IF((H6)&lt;0.05,"D","E"))))</f>
        <v>C</v>
      </c>
      <c r="N6" s="116" t="s">
        <v>88</v>
      </c>
      <c r="O6" s="108"/>
      <c r="P6" t="s">
        <v>88</v>
      </c>
      <c r="Q6">
        <v>0.009</v>
      </c>
      <c r="R6">
        <v>0.017</v>
      </c>
      <c r="S6">
        <v>0.01</v>
      </c>
      <c r="T6">
        <v>0.005</v>
      </c>
      <c r="U6">
        <v>0.02</v>
      </c>
      <c r="V6">
        <v>0.02</v>
      </c>
      <c r="W6">
        <v>0.005</v>
      </c>
      <c r="X6">
        <v>0.009</v>
      </c>
      <c r="Y6">
        <v>0.012</v>
      </c>
      <c r="Z6">
        <v>0.01</v>
      </c>
      <c r="AA6">
        <v>0.007</v>
      </c>
      <c r="AB6">
        <v>0.021</v>
      </c>
      <c r="AC6">
        <v>0.007</v>
      </c>
      <c r="AD6">
        <v>0.018</v>
      </c>
      <c r="AE6">
        <v>0.012</v>
      </c>
      <c r="AF6">
        <v>0.008</v>
      </c>
      <c r="AG6">
        <v>0.018</v>
      </c>
      <c r="AH6">
        <v>0.006</v>
      </c>
      <c r="AI6">
        <v>0.006</v>
      </c>
      <c r="AJ6">
        <v>0.017</v>
      </c>
      <c r="AK6">
        <v>0.011</v>
      </c>
      <c r="AL6">
        <v>0.014</v>
      </c>
      <c r="AM6">
        <v>0.004</v>
      </c>
    </row>
    <row r="7" spans="2:39" ht="12.75">
      <c r="B7" s="71" t="s">
        <v>104</v>
      </c>
      <c r="C7" s="6" t="s">
        <v>7</v>
      </c>
      <c r="D7" s="86">
        <f>COUNT(Q7:EC7)</f>
        <v>23</v>
      </c>
      <c r="E7" s="113">
        <f>AVERAGE(Q7:EC7)</f>
        <v>7.54304347826087</v>
      </c>
      <c r="F7" s="113">
        <f t="shared" si="0"/>
        <v>0.1954472839275713</v>
      </c>
      <c r="G7" s="113">
        <f>STDEV(Q7:EC7)</f>
        <v>0.47823952521538915</v>
      </c>
      <c r="H7" s="113">
        <f>QUARTILE(Q7:EC7,2)</f>
        <v>7.46</v>
      </c>
      <c r="I7" s="113">
        <f>MIN(Q7:EC7)</f>
        <v>6.54</v>
      </c>
      <c r="J7" s="113">
        <f>MAX(Q7:EC7)</f>
        <v>8.2</v>
      </c>
      <c r="K7" s="113">
        <f>PERCENTILE(Q7:EC7,0.95)</f>
        <v>8.184999999999999</v>
      </c>
      <c r="L7" s="103" t="str">
        <f>IF(AND(7.2&lt;H7,H7&lt;9),"A",IF(AND(7.2&lt;=H7,H7&lt;=9),"B",IF(AND(6.5&lt;=H7,H7&lt;=9),"C",IF(AND(6.5&lt;=H7,H7&lt;=10),"D","E"))))</f>
        <v>A</v>
      </c>
      <c r="N7" s="116" t="s">
        <v>89</v>
      </c>
      <c r="O7" s="108"/>
      <c r="P7" t="s">
        <v>89</v>
      </c>
      <c r="Q7">
        <v>7.9</v>
      </c>
      <c r="R7">
        <v>7.1</v>
      </c>
      <c r="S7">
        <v>7.36</v>
      </c>
      <c r="T7">
        <v>8.2</v>
      </c>
      <c r="U7">
        <v>8.02</v>
      </c>
      <c r="V7">
        <v>7.19</v>
      </c>
      <c r="W7">
        <v>8.19</v>
      </c>
      <c r="X7">
        <v>8</v>
      </c>
      <c r="Y7">
        <v>8.06</v>
      </c>
      <c r="Z7">
        <v>7.81</v>
      </c>
      <c r="AA7">
        <v>8.14</v>
      </c>
      <c r="AB7">
        <v>7.64</v>
      </c>
      <c r="AC7">
        <v>7.33</v>
      </c>
      <c r="AD7">
        <v>7.1</v>
      </c>
      <c r="AE7">
        <v>7</v>
      </c>
      <c r="AF7">
        <v>7.29</v>
      </c>
      <c r="AG7">
        <v>7.46</v>
      </c>
      <c r="AH7">
        <v>6.81</v>
      </c>
      <c r="AI7">
        <v>7.63</v>
      </c>
      <c r="AJ7">
        <v>7.24</v>
      </c>
      <c r="AK7">
        <v>6.54</v>
      </c>
      <c r="AL7">
        <v>7.4</v>
      </c>
      <c r="AM7">
        <v>8.08</v>
      </c>
    </row>
    <row r="8" spans="2:39" ht="12.75">
      <c r="B8" s="71"/>
      <c r="C8" s="6" t="s">
        <v>8</v>
      </c>
      <c r="D8" s="81">
        <f>COUNT(Q8:EC8)</f>
        <v>23</v>
      </c>
      <c r="E8" s="44">
        <f>AVERAGE(Q8:EC8)</f>
        <v>12.497826086956518</v>
      </c>
      <c r="F8" s="44">
        <f t="shared" si="0"/>
        <v>1.419614971688467</v>
      </c>
      <c r="G8" s="44">
        <f>STDEV(Q8:EC8)</f>
        <v>3.473652723158551</v>
      </c>
      <c r="H8" s="44">
        <f>QUARTILE(Q8:EC8,2)</f>
        <v>13.05</v>
      </c>
      <c r="I8" s="44">
        <f>MIN(Q8:EC8)</f>
        <v>6.6</v>
      </c>
      <c r="J8" s="44">
        <f>MAX(Q8:EC8)</f>
        <v>18.2</v>
      </c>
      <c r="K8" s="44">
        <f>PERCENTILE(Q8:EC8,0.95)</f>
        <v>17.060000000000002</v>
      </c>
      <c r="L8" s="102" t="str">
        <f>IF(H8&lt;18,"A",IF(H8&lt;20,"B",IF(H8&lt;22,"C",IF(H8&lt;25,"D","E"))))</f>
        <v>A</v>
      </c>
      <c r="N8" s="116" t="s">
        <v>90</v>
      </c>
      <c r="O8" s="108"/>
      <c r="P8" t="s">
        <v>90</v>
      </c>
      <c r="Q8">
        <v>14.8</v>
      </c>
      <c r="R8">
        <v>16.7</v>
      </c>
      <c r="S8">
        <v>13.7</v>
      </c>
      <c r="T8">
        <v>7.9</v>
      </c>
      <c r="U8">
        <v>13.05</v>
      </c>
      <c r="V8">
        <v>12.04</v>
      </c>
      <c r="W8">
        <v>7.9</v>
      </c>
      <c r="X8">
        <v>15.2</v>
      </c>
      <c r="Y8">
        <v>16.6</v>
      </c>
      <c r="Z8">
        <v>11.1</v>
      </c>
      <c r="AA8">
        <v>8.7</v>
      </c>
      <c r="AB8">
        <v>16.4</v>
      </c>
      <c r="AC8">
        <v>17.1</v>
      </c>
      <c r="AD8">
        <v>11.3</v>
      </c>
      <c r="AE8">
        <v>6.6</v>
      </c>
      <c r="AF8">
        <v>13.6</v>
      </c>
      <c r="AG8">
        <v>18.2</v>
      </c>
      <c r="AH8">
        <v>11.1</v>
      </c>
      <c r="AI8">
        <v>9.2</v>
      </c>
      <c r="AJ8">
        <v>14.23</v>
      </c>
      <c r="AK8">
        <v>14.78</v>
      </c>
      <c r="AL8">
        <v>9.05</v>
      </c>
      <c r="AM8">
        <v>8.2</v>
      </c>
    </row>
    <row r="9" spans="2:39" ht="12.75">
      <c r="B9" s="71"/>
      <c r="C9" s="7" t="s">
        <v>9</v>
      </c>
      <c r="D9" s="81">
        <f>COUNT(Q9:EC9)</f>
        <v>23</v>
      </c>
      <c r="E9" s="44">
        <f>AVERAGE(Q9:EC9)</f>
        <v>103.16521739130435</v>
      </c>
      <c r="F9" s="44">
        <f t="shared" si="0"/>
        <v>3.095877300795247</v>
      </c>
      <c r="G9" s="44">
        <f>STDEV(Q9:EC9)</f>
        <v>7.575295295513486</v>
      </c>
      <c r="H9" s="44">
        <f>QUARTILE(Q9:EC9,2)</f>
        <v>105.1</v>
      </c>
      <c r="I9" s="44">
        <f>MIN(Q9:EC9)</f>
        <v>86.2</v>
      </c>
      <c r="J9" s="44">
        <f>MAX(Q9:EC9)</f>
        <v>118.7</v>
      </c>
      <c r="K9" s="44">
        <f>PERCENTILE(Q9:EC9,0.95)</f>
        <v>114.16</v>
      </c>
      <c r="L9" s="104" t="str">
        <f>IF(AND(99&lt;=H9,H9&lt;=103),"A",IF(AND(98&lt;=H9,H9&lt;=105),"B",IF(H9&gt;90,"C",IF(H9&gt;80,"D","E"))))</f>
        <v>C</v>
      </c>
      <c r="N9" s="116" t="s">
        <v>91</v>
      </c>
      <c r="O9" s="108"/>
      <c r="P9" t="s">
        <v>91</v>
      </c>
      <c r="Q9">
        <v>105.2</v>
      </c>
      <c r="R9">
        <v>86.2</v>
      </c>
      <c r="S9">
        <v>95.1</v>
      </c>
      <c r="T9">
        <v>109.9</v>
      </c>
      <c r="U9">
        <v>105.1</v>
      </c>
      <c r="V9">
        <v>106.2</v>
      </c>
      <c r="W9">
        <v>111.1</v>
      </c>
      <c r="X9">
        <v>109.7</v>
      </c>
      <c r="Y9">
        <v>101.2</v>
      </c>
      <c r="Z9">
        <v>98.9</v>
      </c>
      <c r="AA9">
        <v>114.5</v>
      </c>
      <c r="AB9">
        <v>105.4</v>
      </c>
      <c r="AC9">
        <v>99.5</v>
      </c>
      <c r="AD9">
        <v>97.8</v>
      </c>
      <c r="AE9">
        <v>99.6</v>
      </c>
      <c r="AF9">
        <v>98.7</v>
      </c>
      <c r="AG9">
        <v>109.3</v>
      </c>
      <c r="AH9">
        <v>107.1</v>
      </c>
      <c r="AI9">
        <v>118.7</v>
      </c>
      <c r="AJ9">
        <v>92.8</v>
      </c>
      <c r="AK9">
        <v>95.8</v>
      </c>
      <c r="AL9">
        <v>97.3</v>
      </c>
      <c r="AM9">
        <v>107.7</v>
      </c>
    </row>
    <row r="10" spans="2:39" ht="12.75">
      <c r="B10" s="71"/>
      <c r="C10" s="6" t="s">
        <v>10</v>
      </c>
      <c r="D10" s="81">
        <f>COUNT(Q10:EC10)</f>
        <v>23</v>
      </c>
      <c r="E10" s="44">
        <f>AVERAGE(Q10:EC10)</f>
        <v>11.146521739130435</v>
      </c>
      <c r="F10" s="44">
        <f t="shared" si="0"/>
        <v>0.5995268208917457</v>
      </c>
      <c r="G10" s="44">
        <f>STDEV(Q10:EC10)</f>
        <v>1.4669808472928774</v>
      </c>
      <c r="H10" s="44">
        <f>QUARTILE(Q10:EC10,2)</f>
        <v>10.89</v>
      </c>
      <c r="I10" s="44">
        <f>MIN(Q10:EC10)</f>
        <v>8.33</v>
      </c>
      <c r="J10" s="44">
        <f>MAX(Q10:EC10)</f>
        <v>13.65</v>
      </c>
      <c r="K10" s="44">
        <f>PERCENTILE(Q10:EC10,0.95)</f>
        <v>13.325999999999999</v>
      </c>
      <c r="L10" s="102"/>
      <c r="N10" s="116" t="s">
        <v>92</v>
      </c>
      <c r="O10" s="108"/>
      <c r="P10" t="s">
        <v>92</v>
      </c>
      <c r="Q10">
        <v>10.6</v>
      </c>
      <c r="R10">
        <v>8.33</v>
      </c>
      <c r="S10">
        <v>9.84</v>
      </c>
      <c r="T10">
        <v>12.99</v>
      </c>
      <c r="U10">
        <v>11.05</v>
      </c>
      <c r="V10">
        <v>11.43</v>
      </c>
      <c r="W10">
        <v>13.2</v>
      </c>
      <c r="X10">
        <v>12.99</v>
      </c>
      <c r="Y10">
        <v>9.83</v>
      </c>
      <c r="Z10">
        <v>10.89</v>
      </c>
      <c r="AA10">
        <v>13.34</v>
      </c>
      <c r="AB10">
        <v>10.3</v>
      </c>
      <c r="AC10">
        <v>9.6</v>
      </c>
      <c r="AD10">
        <v>10.7</v>
      </c>
      <c r="AE10">
        <v>12.2</v>
      </c>
      <c r="AF10">
        <v>10.25</v>
      </c>
      <c r="AG10">
        <v>10.3</v>
      </c>
      <c r="AH10">
        <v>11.77</v>
      </c>
      <c r="AI10">
        <v>13.65</v>
      </c>
      <c r="AJ10">
        <v>9.51</v>
      </c>
      <c r="AK10">
        <v>9.7</v>
      </c>
      <c r="AL10">
        <v>11.23</v>
      </c>
      <c r="AM10">
        <v>12.67</v>
      </c>
    </row>
    <row r="11" spans="2:39" ht="12.75">
      <c r="B11" s="72"/>
      <c r="C11" s="95" t="s">
        <v>11</v>
      </c>
      <c r="D11" s="87">
        <f>COUNT(Q11:EC11)</f>
        <v>23</v>
      </c>
      <c r="E11" s="115">
        <f>AVERAGE(Q11:EC11)</f>
        <v>151.26521739130433</v>
      </c>
      <c r="F11" s="115">
        <f t="shared" si="0"/>
        <v>7.392209969171696</v>
      </c>
      <c r="G11" s="115">
        <f>STDEV(Q11:EC11)</f>
        <v>18.087982165355786</v>
      </c>
      <c r="H11" s="115">
        <f>QUARTILE(Q11:EC11,2)</f>
        <v>150</v>
      </c>
      <c r="I11" s="115">
        <f>MIN(Q11:EC11)</f>
        <v>115</v>
      </c>
      <c r="J11" s="115">
        <f>MAX(Q11:EC11)</f>
        <v>193</v>
      </c>
      <c r="K11" s="115">
        <f>PERCENTILE(Q11:EC11,0.95)</f>
        <v>183.10999999999999</v>
      </c>
      <c r="L11" s="105"/>
      <c r="N11" s="116" t="s">
        <v>93</v>
      </c>
      <c r="O11" s="108"/>
      <c r="P11" t="s">
        <v>93</v>
      </c>
      <c r="Q11">
        <v>139.9</v>
      </c>
      <c r="R11">
        <v>168.2</v>
      </c>
      <c r="S11">
        <v>183.9</v>
      </c>
      <c r="T11">
        <v>146.1</v>
      </c>
      <c r="U11">
        <v>115</v>
      </c>
      <c r="V11">
        <v>151</v>
      </c>
      <c r="W11">
        <v>142</v>
      </c>
      <c r="X11">
        <v>164</v>
      </c>
      <c r="Y11">
        <v>176</v>
      </c>
      <c r="Z11">
        <v>151</v>
      </c>
      <c r="AA11">
        <v>138</v>
      </c>
      <c r="AB11">
        <v>150</v>
      </c>
      <c r="AC11">
        <v>157</v>
      </c>
      <c r="AD11">
        <v>144</v>
      </c>
      <c r="AE11">
        <v>123</v>
      </c>
      <c r="AF11">
        <v>144</v>
      </c>
      <c r="AG11">
        <v>153</v>
      </c>
      <c r="AH11">
        <v>163</v>
      </c>
      <c r="AI11">
        <v>130</v>
      </c>
      <c r="AJ11">
        <v>149</v>
      </c>
      <c r="AK11">
        <v>193</v>
      </c>
      <c r="AL11">
        <v>144</v>
      </c>
      <c r="AM11">
        <v>154</v>
      </c>
    </row>
    <row r="12" spans="2:39" ht="12.75">
      <c r="B12" s="68" t="s">
        <v>105</v>
      </c>
      <c r="C12" s="4" t="s">
        <v>12</v>
      </c>
      <c r="D12" s="81">
        <f>COUNT(Q12:EC12)</f>
        <v>23</v>
      </c>
      <c r="E12" s="82">
        <f>AVERAGE(Q12:EC12)</f>
        <v>2.797391304347826</v>
      </c>
      <c r="F12" s="82">
        <f t="shared" si="0"/>
        <v>1.7723055800972878</v>
      </c>
      <c r="G12" s="82">
        <f>STDEV(Q12:EC12)</f>
        <v>4.3366505900200165</v>
      </c>
      <c r="H12" s="82">
        <f>QUARTILE(Q12:EC12,2)</f>
        <v>1.68</v>
      </c>
      <c r="I12" s="82">
        <f>MIN(Q12:EC12)</f>
        <v>0.4</v>
      </c>
      <c r="J12" s="82">
        <f>MAX(Q12:EC12)</f>
        <v>22</v>
      </c>
      <c r="K12" s="82">
        <f>PERCENTILE(Q12:EC12,0.95)</f>
        <v>4.617</v>
      </c>
      <c r="L12" s="102" t="str">
        <f>IF(H12&lt;1,"A",IF(H12&lt;2,"B",IF(H12&lt;3,"C",IF(H12&lt;5,"D","E"))))</f>
        <v>B</v>
      </c>
      <c r="N12" s="116" t="s">
        <v>94</v>
      </c>
      <c r="O12" s="108"/>
      <c r="P12" t="s">
        <v>94</v>
      </c>
      <c r="Q12">
        <v>2.29</v>
      </c>
      <c r="R12">
        <v>2.28</v>
      </c>
      <c r="S12">
        <v>1.03</v>
      </c>
      <c r="T12">
        <v>0.67</v>
      </c>
      <c r="U12">
        <v>4.32</v>
      </c>
      <c r="V12">
        <v>4.65</v>
      </c>
      <c r="W12">
        <v>1.68</v>
      </c>
      <c r="X12">
        <v>3.22</v>
      </c>
      <c r="Y12">
        <v>1.56</v>
      </c>
      <c r="Z12">
        <v>0.74</v>
      </c>
      <c r="AA12">
        <v>0.63</v>
      </c>
      <c r="AB12">
        <v>1.54</v>
      </c>
      <c r="AC12">
        <v>0.4</v>
      </c>
      <c r="AD12">
        <v>22</v>
      </c>
      <c r="AE12">
        <v>3.73</v>
      </c>
      <c r="AF12">
        <v>1.9</v>
      </c>
      <c r="AG12">
        <v>1.68</v>
      </c>
      <c r="AH12">
        <v>1.24</v>
      </c>
      <c r="AI12">
        <v>1.9</v>
      </c>
      <c r="AJ12">
        <v>1.34</v>
      </c>
      <c r="AK12">
        <v>1.19</v>
      </c>
      <c r="AL12">
        <v>1.84</v>
      </c>
      <c r="AM12">
        <v>2.51</v>
      </c>
    </row>
    <row r="13" spans="2:39" ht="12.75">
      <c r="B13" s="71"/>
      <c r="C13" s="6" t="s">
        <v>13</v>
      </c>
      <c r="D13" s="81">
        <f>COUNT(Q13:EC13)</f>
        <v>23</v>
      </c>
      <c r="E13" s="44">
        <f>AVERAGE(Q13:EC13)</f>
        <v>2.9673913043478266</v>
      </c>
      <c r="F13" s="44">
        <f t="shared" si="0"/>
        <v>0.5530798913089408</v>
      </c>
      <c r="G13" s="44">
        <f>STDEV(Q13:EC13)</f>
        <v>1.3533299583932146</v>
      </c>
      <c r="H13" s="44">
        <f>QUARTILE(Q13:EC13,2)</f>
        <v>2.8</v>
      </c>
      <c r="I13" s="44">
        <f>MIN(Q13:EC13)</f>
        <v>0.5</v>
      </c>
      <c r="J13" s="44">
        <f>MAX(Q13:EC13)</f>
        <v>6.35</v>
      </c>
      <c r="K13" s="44">
        <f>PERCENTILE(Q13:EC13,0.95)</f>
        <v>5.489999999999998</v>
      </c>
      <c r="L13" s="102" t="str">
        <f>IF(H13&gt;6,"A",IF(H13&gt;4,"B",IF(H13&gt;2.5,"C",IF(H13&gt;0.6,"D","E"))))</f>
        <v>C</v>
      </c>
      <c r="N13" s="116" t="s">
        <v>13</v>
      </c>
      <c r="O13" s="108"/>
      <c r="P13" t="s">
        <v>13</v>
      </c>
      <c r="Q13">
        <v>1.65</v>
      </c>
      <c r="R13">
        <v>4</v>
      </c>
      <c r="S13">
        <v>4</v>
      </c>
      <c r="T13">
        <v>3.2</v>
      </c>
      <c r="U13">
        <v>2.3</v>
      </c>
      <c r="V13">
        <v>1.4</v>
      </c>
      <c r="W13">
        <v>3.1</v>
      </c>
      <c r="X13">
        <v>1.6</v>
      </c>
      <c r="Y13">
        <v>2.8</v>
      </c>
      <c r="Z13">
        <v>6.35</v>
      </c>
      <c r="AA13">
        <v>4.1</v>
      </c>
      <c r="AB13">
        <v>3.35</v>
      </c>
      <c r="AC13">
        <v>4.5</v>
      </c>
      <c r="AD13">
        <v>0.5</v>
      </c>
      <c r="AE13">
        <v>1.9</v>
      </c>
      <c r="AF13">
        <v>2.5</v>
      </c>
      <c r="AG13">
        <v>2.7</v>
      </c>
      <c r="AH13">
        <v>3.2</v>
      </c>
      <c r="AI13">
        <v>2.3</v>
      </c>
      <c r="AJ13">
        <v>2</v>
      </c>
      <c r="AK13">
        <v>5.6</v>
      </c>
      <c r="AL13">
        <v>2.3</v>
      </c>
      <c r="AM13">
        <v>2.9</v>
      </c>
    </row>
    <row r="14" spans="2:39" ht="12.75">
      <c r="B14" s="72"/>
      <c r="C14" s="95" t="s">
        <v>14</v>
      </c>
      <c r="D14" s="87">
        <f>COUNT(Q14:EC14)</f>
        <v>23</v>
      </c>
      <c r="E14" s="115">
        <f>AVERAGE(Q14:EC14)</f>
        <v>1.7173913043478262</v>
      </c>
      <c r="F14" s="115">
        <f t="shared" si="0"/>
        <v>0.6421328712998364</v>
      </c>
      <c r="G14" s="115">
        <f>STDEV(Q14:EC14)</f>
        <v>1.571233497465387</v>
      </c>
      <c r="H14" s="115">
        <f>QUARTILE(Q14:EC14,2)</f>
        <v>1</v>
      </c>
      <c r="I14" s="115">
        <f>MIN(Q14:EC14)</f>
        <v>0.4</v>
      </c>
      <c r="J14" s="115">
        <f>MAX(Q14:EC14)</f>
        <v>8</v>
      </c>
      <c r="K14" s="115">
        <f>PERCENTILE(Q14:EC14,0.95)</f>
        <v>3</v>
      </c>
      <c r="L14" s="102"/>
      <c r="N14" s="116" t="s">
        <v>95</v>
      </c>
      <c r="O14" s="108"/>
      <c r="P14" t="s">
        <v>95</v>
      </c>
      <c r="Q14">
        <v>3</v>
      </c>
      <c r="R14">
        <v>2</v>
      </c>
      <c r="S14">
        <v>2</v>
      </c>
      <c r="T14">
        <v>1</v>
      </c>
      <c r="U14">
        <v>2</v>
      </c>
      <c r="V14">
        <v>3</v>
      </c>
      <c r="W14">
        <v>1</v>
      </c>
      <c r="X14">
        <v>2</v>
      </c>
      <c r="Y14">
        <v>2</v>
      </c>
      <c r="Z14">
        <v>0.4</v>
      </c>
      <c r="AA14">
        <v>0.5</v>
      </c>
      <c r="AB14">
        <v>0.8</v>
      </c>
      <c r="AC14">
        <v>0.6</v>
      </c>
      <c r="AD14">
        <v>8</v>
      </c>
      <c r="AE14">
        <v>2</v>
      </c>
      <c r="AF14">
        <v>1</v>
      </c>
      <c r="AG14">
        <v>1</v>
      </c>
      <c r="AH14">
        <v>0.5</v>
      </c>
      <c r="AI14">
        <v>2</v>
      </c>
      <c r="AJ14">
        <v>2</v>
      </c>
      <c r="AK14">
        <v>0.7</v>
      </c>
      <c r="AL14">
        <v>1</v>
      </c>
      <c r="AM14">
        <v>1</v>
      </c>
    </row>
    <row r="15" spans="2:39" ht="12.75">
      <c r="B15" s="208" t="s">
        <v>267</v>
      </c>
      <c r="C15" s="8" t="s">
        <v>268</v>
      </c>
      <c r="D15" s="81">
        <f>COUNT(Q15:EC15)</f>
        <v>23</v>
      </c>
      <c r="E15" s="40">
        <f>AVERAGE(Q15:EC15)</f>
        <v>291.4347826086956</v>
      </c>
      <c r="F15" s="40">
        <f t="shared" si="0"/>
        <v>138.25120572491116</v>
      </c>
      <c r="G15" s="40">
        <f>STDEV(Q15:EC15)</f>
        <v>338.2865684172836</v>
      </c>
      <c r="H15" s="40">
        <f>QUARTILE(Q15:EC15,2)</f>
        <v>160</v>
      </c>
      <c r="I15" s="40">
        <f>MIN(Q15:EC15)</f>
        <v>10</v>
      </c>
      <c r="J15" s="40">
        <f>MAX(Q15:EC15)</f>
        <v>1400</v>
      </c>
      <c r="K15" s="40">
        <f>PERCENTILE(Q15:EC15,0.95)</f>
        <v>789.9999999999999</v>
      </c>
      <c r="L15" s="106" t="str">
        <f>IF(H15&lt;10,"A",IF(H15&lt;130,"B",IF(H15&lt;260,"C",IF(H15&lt;550,"D","E"))))</f>
        <v>C</v>
      </c>
      <c r="N15" s="116" t="s">
        <v>255</v>
      </c>
      <c r="O15" s="108"/>
      <c r="P15" t="s">
        <v>255</v>
      </c>
      <c r="Q15">
        <v>220</v>
      </c>
      <c r="R15">
        <v>160</v>
      </c>
      <c r="S15">
        <v>1400</v>
      </c>
      <c r="T15">
        <v>10</v>
      </c>
      <c r="U15">
        <v>220</v>
      </c>
      <c r="V15">
        <v>350</v>
      </c>
      <c r="W15">
        <v>85</v>
      </c>
      <c r="X15">
        <v>75</v>
      </c>
      <c r="Y15">
        <v>700</v>
      </c>
      <c r="Z15">
        <v>270</v>
      </c>
      <c r="AA15">
        <v>13</v>
      </c>
      <c r="AB15">
        <v>110</v>
      </c>
      <c r="AC15">
        <v>105</v>
      </c>
      <c r="AD15">
        <v>800</v>
      </c>
      <c r="AE15">
        <v>80</v>
      </c>
      <c r="AF15">
        <v>210</v>
      </c>
      <c r="AG15">
        <v>275</v>
      </c>
      <c r="AH15">
        <v>25</v>
      </c>
      <c r="AI15">
        <v>700</v>
      </c>
      <c r="AJ15">
        <v>620</v>
      </c>
      <c r="AK15">
        <v>105</v>
      </c>
      <c r="AL15">
        <v>70</v>
      </c>
      <c r="AM15">
        <v>100</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79.83333333333333</v>
      </c>
      <c r="F17" s="44">
        <f>CONFIDENCE(0.05,G17,D17)</f>
        <v>6.7406172769008865</v>
      </c>
      <c r="G17" s="44">
        <f>STDEV(Q17:EC17)</f>
        <v>8.424171571535515</v>
      </c>
      <c r="H17" s="44">
        <f>QUARTILE(Q17:EC17,2)</f>
        <v>79</v>
      </c>
      <c r="I17" s="44">
        <f>MIN(Q17:EC17)</f>
        <v>70</v>
      </c>
      <c r="J17" s="44">
        <f>MAX(Q17:EC17)</f>
        <v>90</v>
      </c>
      <c r="K17" s="44">
        <f>PERCENTILE(Q17:EC17,0.95)</f>
        <v>89.75</v>
      </c>
      <c r="L17" s="102" t="str">
        <f>IF(H17&gt;120,"A",IF(H17&gt;100,"B",IF(H17&gt;80,"C",IF(H17&gt;60,"D","E"))))</f>
        <v>D</v>
      </c>
      <c r="N17" s="116" t="s">
        <v>17</v>
      </c>
      <c r="O17" s="108"/>
      <c r="P17" t="s">
        <v>17</v>
      </c>
      <c r="Q17">
        <v>72</v>
      </c>
      <c r="U17">
        <v>89</v>
      </c>
      <c r="X17">
        <v>81</v>
      </c>
      <c r="AB17">
        <v>77</v>
      </c>
      <c r="AF17">
        <v>90</v>
      </c>
      <c r="AJ17">
        <v>70</v>
      </c>
    </row>
    <row r="18" spans="2:36" ht="12.75">
      <c r="B18" s="74"/>
      <c r="C18" s="96" t="s">
        <v>18</v>
      </c>
      <c r="D18" s="81">
        <f>COUNT(Q18:EC18)</f>
        <v>6</v>
      </c>
      <c r="E18" s="44">
        <f>AVERAGE(Q18:EC18)</f>
        <v>2.9205</v>
      </c>
      <c r="F18" s="44">
        <f>CONFIDENCE(0.05,G18,D18)</f>
        <v>0.38411752332127774</v>
      </c>
      <c r="G18" s="44">
        <f>STDEV(Q18:EC18)</f>
        <v>0.4800557259318965</v>
      </c>
      <c r="H18" s="44">
        <f>QUARTILE(Q18:EC18,2)</f>
        <v>2.895</v>
      </c>
      <c r="I18" s="44">
        <f>MIN(Q18:EC18)</f>
        <v>2.24</v>
      </c>
      <c r="J18" s="44">
        <f>MAX(Q18:EC18)</f>
        <v>3.63</v>
      </c>
      <c r="K18" s="44">
        <f>PERCENTILE(Q18:EC18,0.95)</f>
        <v>3.53</v>
      </c>
      <c r="L18" s="105" t="str">
        <f>IF(H18&gt;6,"A",IF(H18&gt;5,"B",IF(H18&gt;4,"C",IF(H18&gt;3,"D","E"))))</f>
        <v>E</v>
      </c>
      <c r="N18" s="116" t="s">
        <v>18</v>
      </c>
      <c r="O18" s="108"/>
      <c r="P18" t="s">
        <v>18</v>
      </c>
      <c r="Q18">
        <v>3.23</v>
      </c>
      <c r="U18">
        <v>2.84</v>
      </c>
      <c r="X18">
        <v>2.95</v>
      </c>
      <c r="AB18">
        <v>2.24</v>
      </c>
      <c r="AF18">
        <v>3.63</v>
      </c>
      <c r="AJ18">
        <v>2.633</v>
      </c>
    </row>
    <row r="19" spans="2:36" ht="12.75">
      <c r="B19" s="71" t="s">
        <v>106</v>
      </c>
      <c r="C19" s="7" t="s">
        <v>19</v>
      </c>
      <c r="D19" s="86">
        <f>COUNT(Q19:EC19)</f>
        <v>7</v>
      </c>
      <c r="E19" s="113">
        <f>AVERAGE(Q19:EC19)</f>
        <v>7.352142857142858</v>
      </c>
      <c r="F19" s="113">
        <f>CONFIDENCE(0.05,G19,D19)</f>
        <v>0.8175877731556107</v>
      </c>
      <c r="G19" s="113">
        <f>STDEV(Q19:EC19)</f>
        <v>1.1036600365105484</v>
      </c>
      <c r="H19" s="113">
        <f>QUARTILE(Q19:EC19,2)</f>
        <v>7.1</v>
      </c>
      <c r="I19" s="113">
        <f>MIN(Q19:EC19)</f>
        <v>5.74</v>
      </c>
      <c r="J19" s="113">
        <f>MAX(Q19:EC19)</f>
        <v>9</v>
      </c>
      <c r="K19" s="113">
        <f>PERCENTILE(Q19:EC19,0.95)</f>
        <v>8.8155</v>
      </c>
      <c r="L19" s="102" t="str">
        <f>IF(H19&gt;8,"A",IF(H19&gt;6,"B",IF(H19&gt;4,"C",IF(H19&gt;2,"D","E"))))</f>
        <v>B</v>
      </c>
      <c r="N19" s="116" t="s">
        <v>96</v>
      </c>
      <c r="O19" s="108"/>
      <c r="P19" t="s">
        <v>96</v>
      </c>
      <c r="R19">
        <v>6.95</v>
      </c>
      <c r="S19">
        <v>6.59</v>
      </c>
      <c r="T19">
        <v>5.74</v>
      </c>
      <c r="X19">
        <v>7.1</v>
      </c>
      <c r="AB19">
        <v>7.7</v>
      </c>
      <c r="AF19">
        <v>9</v>
      </c>
      <c r="AJ19">
        <v>8.385</v>
      </c>
    </row>
    <row r="20" spans="2:36" ht="12.75">
      <c r="B20" s="72"/>
      <c r="C20" s="97" t="s">
        <v>122</v>
      </c>
      <c r="D20" s="87">
        <f>COUNT(Q20:EC20)</f>
        <v>4</v>
      </c>
      <c r="E20" s="114">
        <f>AVERAGE(Q20:EC20)</f>
        <v>0</v>
      </c>
      <c r="F20" s="114" t="e">
        <f>CONFIDENCE(0.05,G20,D20)</f>
        <v>#NUM!</v>
      </c>
      <c r="G20" s="114">
        <f>STDEV(Q20:EC20)</f>
        <v>0</v>
      </c>
      <c r="H20" s="114">
        <f>QUARTILE(Q20:EC20,2)</f>
        <v>0</v>
      </c>
      <c r="I20" s="114">
        <f>MIN(Q20:EC20)</f>
        <v>0</v>
      </c>
      <c r="J20" s="114">
        <f>MAX(Q20:EC20)</f>
        <v>0</v>
      </c>
      <c r="K20" s="114">
        <f>PERCENTILE(Q20:EC20,0.95)</f>
        <v>0</v>
      </c>
      <c r="L20" s="105"/>
      <c r="N20" s="116" t="s">
        <v>97</v>
      </c>
      <c r="O20" s="108"/>
      <c r="P20" t="s">
        <v>97</v>
      </c>
      <c r="X20">
        <v>0</v>
      </c>
      <c r="AB20">
        <v>0</v>
      </c>
      <c r="AF20">
        <v>0</v>
      </c>
      <c r="AJ20">
        <v>0</v>
      </c>
    </row>
    <row r="21" spans="2:15" ht="12.75">
      <c r="B21" s="71" t="s">
        <v>112</v>
      </c>
      <c r="C21" s="118" t="s">
        <v>21</v>
      </c>
      <c r="D21" s="141">
        <v>3</v>
      </c>
      <c r="E21" s="157">
        <v>0.25</v>
      </c>
      <c r="F21" s="142"/>
      <c r="G21" s="142"/>
      <c r="H21" s="142"/>
      <c r="I21" s="142">
        <v>0.05</v>
      </c>
      <c r="J21" s="142">
        <v>0.6</v>
      </c>
      <c r="K21" s="143"/>
      <c r="L21" s="144" t="str">
        <f>IF(E21&gt;=H52,"E","A - D")</f>
        <v>A - D</v>
      </c>
      <c r="O21" s="108"/>
    </row>
    <row r="22" spans="2:15" ht="12.75">
      <c r="B22" s="73" t="s">
        <v>111</v>
      </c>
      <c r="C22" s="122" t="s">
        <v>22</v>
      </c>
      <c r="D22" s="141">
        <v>3</v>
      </c>
      <c r="E22" s="157">
        <v>29.333333333333332</v>
      </c>
      <c r="F22" s="142"/>
      <c r="G22" s="142"/>
      <c r="H22" s="142"/>
      <c r="I22" s="142">
        <v>26</v>
      </c>
      <c r="J22" s="142">
        <v>32</v>
      </c>
      <c r="K22" s="145"/>
      <c r="L22" s="144" t="str">
        <f aca="true" t="shared" si="1" ref="L22:L41">IF(E22&gt;=H53,"E","A - D")</f>
        <v>A - D</v>
      </c>
      <c r="N22" s="111"/>
      <c r="O22" s="108"/>
    </row>
    <row r="23" spans="2:15" ht="12.75">
      <c r="B23" s="73"/>
      <c r="C23" s="122" t="s">
        <v>23</v>
      </c>
      <c r="D23" s="141">
        <v>3</v>
      </c>
      <c r="E23" s="157">
        <v>22.333333333333332</v>
      </c>
      <c r="F23" s="142"/>
      <c r="G23" s="142"/>
      <c r="H23" s="142"/>
      <c r="I23" s="142">
        <v>14</v>
      </c>
      <c r="J23" s="142">
        <v>32</v>
      </c>
      <c r="K23" s="145"/>
      <c r="L23" s="144" t="str">
        <f t="shared" si="1"/>
        <v>A - D</v>
      </c>
      <c r="N23" s="111"/>
      <c r="O23" s="108"/>
    </row>
    <row r="24" spans="2:15" ht="12.75">
      <c r="B24" s="73"/>
      <c r="C24" s="122" t="s">
        <v>24</v>
      </c>
      <c r="D24" s="141">
        <v>3</v>
      </c>
      <c r="E24" s="157">
        <v>206.66666666666666</v>
      </c>
      <c r="F24" s="142"/>
      <c r="G24" s="142"/>
      <c r="H24" s="142"/>
      <c r="I24" s="142">
        <v>110</v>
      </c>
      <c r="J24" s="142">
        <v>270</v>
      </c>
      <c r="K24" s="145"/>
      <c r="L24" s="144" t="str">
        <f t="shared" si="1"/>
        <v>E</v>
      </c>
      <c r="N24" s="111"/>
      <c r="O24" s="108"/>
    </row>
    <row r="25" spans="2:15" ht="12.75">
      <c r="B25" s="71"/>
      <c r="C25" s="122"/>
      <c r="D25" s="146"/>
      <c r="F25" s="145"/>
      <c r="G25" s="145"/>
      <c r="H25" s="145"/>
      <c r="I25" s="148"/>
      <c r="J25" s="148"/>
      <c r="K25" s="145"/>
      <c r="L25" s="144"/>
      <c r="O25" s="108"/>
    </row>
    <row r="26" spans="2:15" ht="12.75">
      <c r="B26" s="71"/>
      <c r="C26" s="122" t="s">
        <v>28</v>
      </c>
      <c r="D26" s="140">
        <v>3</v>
      </c>
      <c r="E26" s="23">
        <v>0.07666666666666667</v>
      </c>
      <c r="F26" s="145"/>
      <c r="G26" s="145"/>
      <c r="H26" s="145"/>
      <c r="I26" s="149">
        <v>0.015</v>
      </c>
      <c r="J26" s="149">
        <v>0.2</v>
      </c>
      <c r="K26" s="145"/>
      <c r="L26" s="144" t="str">
        <f t="shared" si="1"/>
        <v>E</v>
      </c>
      <c r="O26" s="108"/>
    </row>
    <row r="27" spans="2:15" ht="12.75">
      <c r="B27" s="73"/>
      <c r="C27" s="122" t="s">
        <v>29</v>
      </c>
      <c r="D27" s="140">
        <v>3</v>
      </c>
      <c r="E27" s="23">
        <v>0.4323176903611687</v>
      </c>
      <c r="F27" s="143"/>
      <c r="G27" s="143"/>
      <c r="H27" s="143"/>
      <c r="I27" s="149">
        <v>0.015</v>
      </c>
      <c r="J27" s="149">
        <v>1.2</v>
      </c>
      <c r="K27" s="143"/>
      <c r="L27" s="144" t="str">
        <f t="shared" si="1"/>
        <v>E</v>
      </c>
      <c r="O27" s="108"/>
    </row>
    <row r="28" spans="2:15" ht="12.75">
      <c r="B28" s="73"/>
      <c r="C28" s="122" t="s">
        <v>30</v>
      </c>
      <c r="D28" s="140">
        <v>3</v>
      </c>
      <c r="E28" s="23">
        <v>0.11</v>
      </c>
      <c r="F28" s="143"/>
      <c r="G28" s="143"/>
      <c r="H28" s="143"/>
      <c r="I28" s="149">
        <v>0.015</v>
      </c>
      <c r="J28" s="149">
        <v>0.3</v>
      </c>
      <c r="K28" s="143"/>
      <c r="L28" s="144" t="str">
        <f t="shared" si="1"/>
        <v>E</v>
      </c>
      <c r="O28" s="108"/>
    </row>
    <row r="29" spans="2:15" ht="12.75">
      <c r="B29" s="127"/>
      <c r="C29" s="128" t="s">
        <v>31</v>
      </c>
      <c r="D29" s="140"/>
      <c r="E29" s="23">
        <v>0.6189843570278354</v>
      </c>
      <c r="F29" s="143"/>
      <c r="G29" s="149"/>
      <c r="H29" s="149"/>
      <c r="I29" s="143"/>
      <c r="J29" s="143"/>
      <c r="K29" s="147"/>
      <c r="L29" s="144" t="str">
        <f>IF(E29&gt;=H60,"E","A - D")</f>
        <v>E</v>
      </c>
      <c r="O29" s="108"/>
    </row>
    <row r="30" spans="2:15" ht="12.75">
      <c r="B30" s="73"/>
      <c r="C30" s="122" t="s">
        <v>32</v>
      </c>
      <c r="D30" s="140">
        <v>3</v>
      </c>
      <c r="E30" s="23">
        <v>0.5221532091097311</v>
      </c>
      <c r="F30" s="143"/>
      <c r="G30" s="143"/>
      <c r="H30" s="143"/>
      <c r="I30" s="149">
        <v>0.05</v>
      </c>
      <c r="J30" s="149">
        <v>1.4</v>
      </c>
      <c r="K30" s="143"/>
      <c r="L30" s="144" t="str">
        <f t="shared" si="1"/>
        <v>A - D</v>
      </c>
      <c r="O30" s="108"/>
    </row>
    <row r="31" spans="2:15" ht="12.75">
      <c r="B31" s="81"/>
      <c r="C31" s="122" t="s">
        <v>33</v>
      </c>
      <c r="D31" s="140">
        <v>3</v>
      </c>
      <c r="E31" s="23">
        <v>0.4830687830687831</v>
      </c>
      <c r="F31" s="147"/>
      <c r="G31" s="147"/>
      <c r="H31" s="147"/>
      <c r="I31" s="149">
        <v>0.05</v>
      </c>
      <c r="J31" s="149">
        <v>1.3</v>
      </c>
      <c r="K31" s="143"/>
      <c r="L31" s="144" t="str">
        <f t="shared" si="1"/>
        <v>A - D</v>
      </c>
      <c r="O31" s="108"/>
    </row>
    <row r="32" spans="2:15" ht="12.75">
      <c r="B32" s="81"/>
      <c r="C32" s="122" t="s">
        <v>34</v>
      </c>
      <c r="D32" s="140">
        <v>3</v>
      </c>
      <c r="E32" s="23">
        <v>0.21793995859213255</v>
      </c>
      <c r="F32" s="147"/>
      <c r="G32" s="147"/>
      <c r="H32" s="147"/>
      <c r="I32" s="149">
        <v>0.015</v>
      </c>
      <c r="J32" s="149">
        <v>0.6</v>
      </c>
      <c r="K32" s="143"/>
      <c r="L32" s="144" t="str">
        <f t="shared" si="1"/>
        <v>A - D</v>
      </c>
      <c r="O32" s="108"/>
    </row>
    <row r="33" spans="2:15" ht="12.75">
      <c r="B33" s="81"/>
      <c r="C33" s="122" t="s">
        <v>35</v>
      </c>
      <c r="D33" s="140">
        <v>3</v>
      </c>
      <c r="E33" s="23">
        <v>0.21506441223832534</v>
      </c>
      <c r="F33" s="147"/>
      <c r="G33" s="147"/>
      <c r="H33" s="147"/>
      <c r="I33" s="149">
        <v>0.015</v>
      </c>
      <c r="J33" s="149">
        <v>0.6</v>
      </c>
      <c r="K33" s="150"/>
      <c r="L33" s="144" t="str">
        <f t="shared" si="1"/>
        <v>A - D</v>
      </c>
      <c r="O33" s="108"/>
    </row>
    <row r="34" spans="2:15" ht="12.75">
      <c r="B34" s="81"/>
      <c r="C34" s="122" t="s">
        <v>36</v>
      </c>
      <c r="D34" s="140">
        <v>3</v>
      </c>
      <c r="E34" s="23">
        <v>0.2516666666666667</v>
      </c>
      <c r="F34" s="147"/>
      <c r="G34" s="147"/>
      <c r="H34" s="147"/>
      <c r="I34" s="149">
        <v>0.015</v>
      </c>
      <c r="J34" s="149">
        <v>0.7</v>
      </c>
      <c r="K34" s="151"/>
      <c r="L34" s="144" t="str">
        <f t="shared" si="1"/>
        <v>A - D</v>
      </c>
      <c r="O34" s="108"/>
    </row>
    <row r="35" spans="2:15" ht="12.75">
      <c r="B35" s="81"/>
      <c r="C35" s="122" t="s">
        <v>37</v>
      </c>
      <c r="D35" s="140">
        <v>3</v>
      </c>
      <c r="E35" s="23">
        <v>0.21218886588451813</v>
      </c>
      <c r="F35" s="147"/>
      <c r="G35" s="147"/>
      <c r="H35" s="147"/>
      <c r="I35" s="149">
        <v>0.015</v>
      </c>
      <c r="J35" s="149">
        <v>0.6</v>
      </c>
      <c r="K35" s="147"/>
      <c r="L35" s="144" t="str">
        <f t="shared" si="1"/>
        <v>A - D</v>
      </c>
      <c r="O35" s="108"/>
    </row>
    <row r="36" spans="2:15" ht="12.75">
      <c r="B36" s="81"/>
      <c r="C36" s="122" t="s">
        <v>38</v>
      </c>
      <c r="D36" s="140">
        <v>3</v>
      </c>
      <c r="E36" s="23">
        <v>0.3277110651023695</v>
      </c>
      <c r="F36" s="147"/>
      <c r="G36" s="147"/>
      <c r="H36" s="147"/>
      <c r="I36" s="149">
        <v>0.04</v>
      </c>
      <c r="J36" s="149">
        <v>0.9</v>
      </c>
      <c r="K36" s="147"/>
      <c r="L36" s="144" t="str">
        <f t="shared" si="1"/>
        <v>A - D</v>
      </c>
      <c r="O36" s="108"/>
    </row>
    <row r="37" spans="2:15" ht="12.75">
      <c r="B37" s="81"/>
      <c r="C37" s="122" t="s">
        <v>39</v>
      </c>
      <c r="D37" s="140">
        <v>3</v>
      </c>
      <c r="E37" s="23">
        <v>0.01</v>
      </c>
      <c r="F37" s="147"/>
      <c r="G37" s="147"/>
      <c r="H37" s="147"/>
      <c r="I37" s="149">
        <v>0</v>
      </c>
      <c r="J37" s="149">
        <v>0.015</v>
      </c>
      <c r="K37" s="147"/>
      <c r="L37" s="144" t="str">
        <f t="shared" si="1"/>
        <v>A - D</v>
      </c>
      <c r="O37" s="108"/>
    </row>
    <row r="38" spans="2:15" ht="12.75">
      <c r="B38" s="81"/>
      <c r="C38" s="122" t="s">
        <v>40</v>
      </c>
      <c r="D38" s="140">
        <v>3</v>
      </c>
      <c r="E38" s="23">
        <v>0.2512732919254659</v>
      </c>
      <c r="F38" s="147"/>
      <c r="G38" s="147"/>
      <c r="H38" s="147"/>
      <c r="I38" s="149">
        <v>0.015</v>
      </c>
      <c r="J38" s="149">
        <v>0.7</v>
      </c>
      <c r="K38" s="147"/>
      <c r="L38" s="144"/>
      <c r="O38" s="108"/>
    </row>
    <row r="39" spans="2:15" ht="12.75">
      <c r="B39" s="81"/>
      <c r="C39" s="122" t="s">
        <v>41</v>
      </c>
      <c r="D39" s="140">
        <v>3</v>
      </c>
      <c r="E39" s="23">
        <v>0.24695997239475503</v>
      </c>
      <c r="F39" s="147"/>
      <c r="G39" s="147"/>
      <c r="H39" s="147"/>
      <c r="I39" s="149">
        <v>0.015</v>
      </c>
      <c r="J39" s="149">
        <v>0.7</v>
      </c>
      <c r="K39" s="147"/>
      <c r="L39" s="144" t="str">
        <f t="shared" si="1"/>
        <v>E</v>
      </c>
      <c r="O39" s="108"/>
    </row>
    <row r="40" spans="2:15" ht="12.75">
      <c r="B40" s="127"/>
      <c r="C40" s="128" t="s">
        <v>42</v>
      </c>
      <c r="D40" s="140"/>
      <c r="E40" s="23">
        <v>2.738026224982747</v>
      </c>
      <c r="F40" s="147"/>
      <c r="G40" s="149"/>
      <c r="H40" s="149"/>
      <c r="I40" s="147"/>
      <c r="J40" s="147"/>
      <c r="K40" s="147"/>
      <c r="L40" s="144" t="str">
        <f t="shared" si="1"/>
        <v>E</v>
      </c>
      <c r="O40" s="108"/>
    </row>
    <row r="41" spans="2:15" ht="12.75">
      <c r="B41" s="127"/>
      <c r="C41" s="131" t="s">
        <v>43</v>
      </c>
      <c r="D41" s="140"/>
      <c r="E41" s="23">
        <v>3.3570105820105827</v>
      </c>
      <c r="F41" s="147"/>
      <c r="G41" s="149"/>
      <c r="H41" s="149"/>
      <c r="I41" s="147"/>
      <c r="J41" s="147"/>
      <c r="K41" s="147"/>
      <c r="L41" s="144" t="str">
        <f t="shared" si="1"/>
        <v>A - D</v>
      </c>
      <c r="O41" s="108"/>
    </row>
    <row r="42" spans="2:15" ht="12.75">
      <c r="B42" s="81"/>
      <c r="C42" s="122" t="s">
        <v>44</v>
      </c>
      <c r="D42" s="140">
        <v>3</v>
      </c>
      <c r="E42" s="23">
        <v>0.19377731769036133</v>
      </c>
      <c r="F42" s="147"/>
      <c r="G42" s="147"/>
      <c r="H42" s="147"/>
      <c r="I42" s="149">
        <v>0</v>
      </c>
      <c r="J42" s="149">
        <v>0.4313319530710836</v>
      </c>
      <c r="K42" s="147"/>
      <c r="L42" s="152"/>
      <c r="O42" s="108"/>
    </row>
    <row r="43" spans="2:15" ht="13.5" thickBot="1">
      <c r="B43" s="83"/>
      <c r="C43" s="133"/>
      <c r="D43" s="134"/>
      <c r="E43" s="84"/>
      <c r="F43" s="84"/>
      <c r="G43" s="84"/>
      <c r="H43" s="84"/>
      <c r="I43" s="84"/>
      <c r="J43" s="84"/>
      <c r="K43" s="84"/>
      <c r="L43" s="135"/>
      <c r="O43" s="108"/>
    </row>
    <row r="44" spans="2:12" ht="12.75">
      <c r="B44" s="80"/>
      <c r="C44" s="89"/>
      <c r="D44" s="89"/>
      <c r="E44" s="89"/>
      <c r="F44" s="89"/>
      <c r="G44" s="89"/>
      <c r="H44" s="89"/>
      <c r="I44" s="89"/>
      <c r="J44" s="89"/>
      <c r="K44" s="89"/>
      <c r="L44" s="100"/>
    </row>
    <row r="45" spans="2:12" ht="12.75">
      <c r="B45" s="210" t="s">
        <v>119</v>
      </c>
      <c r="C45" s="211"/>
      <c r="D45" s="211"/>
      <c r="E45" s="211"/>
      <c r="F45" s="211"/>
      <c r="G45" s="76" t="str">
        <f>'Combined Score Calcs'!I10</f>
        <v>E</v>
      </c>
      <c r="H45" s="39"/>
      <c r="I45" s="39"/>
      <c r="J45" s="39"/>
      <c r="K45" s="99"/>
      <c r="L45" s="90"/>
    </row>
    <row r="46" spans="2:12" ht="13.5" thickBot="1">
      <c r="B46" s="83"/>
      <c r="C46" s="84"/>
      <c r="D46" s="84"/>
      <c r="E46" s="84"/>
      <c r="F46" s="84"/>
      <c r="G46" s="84"/>
      <c r="H46" s="84"/>
      <c r="I46" s="84"/>
      <c r="J46" s="84"/>
      <c r="K46" s="84"/>
      <c r="L46" s="91"/>
    </row>
    <row r="47" ht="12.75">
      <c r="L47" s="60"/>
    </row>
    <row r="48" ht="12.75">
      <c r="L48" s="60"/>
    </row>
    <row r="49" ht="12.75">
      <c r="L49" s="60"/>
    </row>
    <row r="50" ht="12.75">
      <c r="L50" s="60"/>
    </row>
    <row r="51" spans="7:12" ht="12.75">
      <c r="G51" t="s">
        <v>140</v>
      </c>
      <c r="H51" t="s">
        <v>141</v>
      </c>
      <c r="L51" s="60"/>
    </row>
    <row r="52" spans="7:12" ht="12.75">
      <c r="G52" s="118" t="s">
        <v>21</v>
      </c>
      <c r="H52" s="136">
        <v>1.5</v>
      </c>
      <c r="I52" s="137">
        <v>10</v>
      </c>
      <c r="L52" s="60"/>
    </row>
    <row r="53" spans="7:12" ht="12.75">
      <c r="G53" s="122" t="s">
        <v>22</v>
      </c>
      <c r="H53" s="137">
        <v>65</v>
      </c>
      <c r="I53" s="137">
        <v>270</v>
      </c>
      <c r="L53" s="60"/>
    </row>
    <row r="54" spans="7:12" ht="12.75">
      <c r="G54" s="122" t="s">
        <v>23</v>
      </c>
      <c r="H54" s="137">
        <v>50</v>
      </c>
      <c r="I54" s="137">
        <v>220</v>
      </c>
      <c r="L54" s="60"/>
    </row>
    <row r="55" spans="7:12" ht="12.75">
      <c r="G55" s="122" t="s">
        <v>24</v>
      </c>
      <c r="H55" s="137">
        <v>200</v>
      </c>
      <c r="I55" s="137">
        <v>210</v>
      </c>
      <c r="L55" s="60"/>
    </row>
    <row r="56" spans="7:12" ht="12.75">
      <c r="G56" s="122"/>
      <c r="H56" t="s">
        <v>137</v>
      </c>
      <c r="I56" t="s">
        <v>138</v>
      </c>
      <c r="L56" s="60"/>
    </row>
    <row r="57" spans="7:12" ht="12.75">
      <c r="G57" s="122" t="s">
        <v>28</v>
      </c>
      <c r="H57" s="138">
        <v>0.019</v>
      </c>
      <c r="I57" s="139">
        <v>0.54</v>
      </c>
      <c r="L57" s="60"/>
    </row>
    <row r="58" spans="7:12" ht="12.75">
      <c r="G58" s="122" t="s">
        <v>29</v>
      </c>
      <c r="H58" s="138">
        <v>0.24</v>
      </c>
      <c r="I58" s="139">
        <v>1.5</v>
      </c>
      <c r="L58" s="60"/>
    </row>
    <row r="59" spans="7:12" ht="12.75">
      <c r="G59" s="122" t="s">
        <v>30</v>
      </c>
      <c r="H59" s="138">
        <v>0.085</v>
      </c>
      <c r="I59" s="139">
        <v>1.1</v>
      </c>
      <c r="L59" s="60"/>
    </row>
    <row r="60" spans="7:12" ht="12.75">
      <c r="G60" s="128" t="s">
        <v>31</v>
      </c>
      <c r="H60" s="138">
        <v>0.552</v>
      </c>
      <c r="I60" s="139">
        <v>3.16</v>
      </c>
      <c r="L60" s="60"/>
    </row>
    <row r="61" spans="7:12" ht="12.75">
      <c r="G61" s="122" t="s">
        <v>32</v>
      </c>
      <c r="H61" s="138">
        <v>0.6</v>
      </c>
      <c r="I61" s="139">
        <v>5.1</v>
      </c>
      <c r="L61" s="60"/>
    </row>
    <row r="62" spans="7:12" ht="12.75">
      <c r="G62" s="122" t="s">
        <v>33</v>
      </c>
      <c r="H62" s="138">
        <v>0.665</v>
      </c>
      <c r="I62" s="139">
        <v>2.6</v>
      </c>
      <c r="L62" s="60"/>
    </row>
    <row r="63" spans="7:12" ht="12.75">
      <c r="G63" s="122" t="s">
        <v>34</v>
      </c>
      <c r="H63" s="138">
        <v>0.261</v>
      </c>
      <c r="I63" s="139">
        <v>1.6</v>
      </c>
      <c r="L63" s="60"/>
    </row>
    <row r="64" spans="7:12" ht="12.75">
      <c r="G64" s="122" t="s">
        <v>35</v>
      </c>
      <c r="H64" s="138">
        <v>0.384</v>
      </c>
      <c r="I64" s="139">
        <v>2.8</v>
      </c>
      <c r="L64" s="60"/>
    </row>
    <row r="65" spans="7:12" ht="12.75">
      <c r="G65" s="122" t="s">
        <v>36</v>
      </c>
      <c r="H65" s="138">
        <v>0.8</v>
      </c>
      <c r="I65" s="139">
        <v>8</v>
      </c>
      <c r="L65" s="60"/>
    </row>
    <row r="66" spans="7:9" ht="12.75">
      <c r="G66" s="122" t="s">
        <v>37</v>
      </c>
      <c r="H66" s="138">
        <v>0.8</v>
      </c>
      <c r="I66" s="139">
        <v>8</v>
      </c>
    </row>
    <row r="67" spans="7:9" ht="12.75">
      <c r="G67" s="122" t="s">
        <v>38</v>
      </c>
      <c r="H67" s="138">
        <v>0.43</v>
      </c>
      <c r="I67" s="139">
        <v>1.6</v>
      </c>
    </row>
    <row r="68" spans="7:9" ht="12.75">
      <c r="G68" s="122" t="s">
        <v>39</v>
      </c>
      <c r="H68" s="138">
        <v>0.063</v>
      </c>
      <c r="I68" s="139">
        <v>0.26</v>
      </c>
    </row>
    <row r="69" spans="7:9" ht="12.75">
      <c r="G69" s="122" t="s">
        <v>40</v>
      </c>
      <c r="H69" s="138" t="s">
        <v>139</v>
      </c>
      <c r="I69" s="139" t="s">
        <v>139</v>
      </c>
    </row>
    <row r="70" spans="7:9" ht="12.75">
      <c r="G70" s="122" t="s">
        <v>41</v>
      </c>
      <c r="H70" s="138">
        <v>0.069</v>
      </c>
      <c r="I70" s="139">
        <v>5.2</v>
      </c>
    </row>
    <row r="71" spans="7:9" ht="12.75">
      <c r="G71" s="128" t="s">
        <v>42</v>
      </c>
      <c r="H71" s="138">
        <v>1.7</v>
      </c>
      <c r="I71" s="139">
        <v>9.6</v>
      </c>
    </row>
    <row r="72" spans="7:9" ht="12.75">
      <c r="G72" s="131" t="s">
        <v>43</v>
      </c>
      <c r="H72" s="138">
        <v>4</v>
      </c>
      <c r="I72" s="139">
        <v>45</v>
      </c>
    </row>
    <row r="73" ht="12.75">
      <c r="G73" s="122" t="s">
        <v>44</v>
      </c>
    </row>
  </sheetData>
  <mergeCells count="1">
    <mergeCell ref="B45:F45"/>
  </mergeCells>
  <printOptions/>
  <pageMargins left="0.75" right="0.75" top="1" bottom="1" header="0.5" footer="0.5"/>
  <pageSetup horizontalDpi="600" verticalDpi="600" orientation="portrait" paperSize="133" r:id="rId1"/>
</worksheet>
</file>

<file path=xl/worksheets/sheet25.xml><?xml version="1.0" encoding="utf-8"?>
<worksheet xmlns="http://schemas.openxmlformats.org/spreadsheetml/2006/main" xmlns:r="http://schemas.openxmlformats.org/officeDocument/2006/relationships">
  <dimension ref="B1:AQ73"/>
  <sheetViews>
    <sheetView workbookViewId="0" topLeftCell="A1">
      <selection activeCell="A17" sqref="A17"/>
    </sheetView>
  </sheetViews>
  <sheetFormatPr defaultColWidth="9.140625" defaultRowHeight="12.75"/>
  <cols>
    <col min="3" max="3" width="28.7109375" style="0" bestFit="1" customWidth="1"/>
    <col min="14" max="14" width="34.140625" style="0" customWidth="1"/>
    <col min="16" max="16" width="33.57421875" style="0" customWidth="1"/>
  </cols>
  <sheetData>
    <row r="1" spans="2:15" ht="15.75">
      <c r="B1" s="107" t="s">
        <v>135</v>
      </c>
      <c r="O1" s="109" t="s">
        <v>125</v>
      </c>
    </row>
    <row r="2" spans="12:39" ht="13.5" thickBot="1">
      <c r="L2" s="60"/>
      <c r="N2" s="116" t="s">
        <v>84</v>
      </c>
      <c r="O2" s="110"/>
      <c r="P2" t="s">
        <v>84</v>
      </c>
      <c r="Q2" t="s">
        <v>46</v>
      </c>
      <c r="R2" t="s">
        <v>46</v>
      </c>
      <c r="S2" t="s">
        <v>46</v>
      </c>
      <c r="T2" t="s">
        <v>46</v>
      </c>
      <c r="U2" t="s">
        <v>46</v>
      </c>
      <c r="V2" t="s">
        <v>46</v>
      </c>
      <c r="W2" t="s">
        <v>46</v>
      </c>
      <c r="X2" t="s">
        <v>46</v>
      </c>
      <c r="Y2" t="s">
        <v>46</v>
      </c>
      <c r="Z2" t="s">
        <v>46</v>
      </c>
      <c r="AA2" t="s">
        <v>46</v>
      </c>
      <c r="AB2" t="s">
        <v>46</v>
      </c>
      <c r="AC2" t="s">
        <v>46</v>
      </c>
      <c r="AD2" t="s">
        <v>46</v>
      </c>
      <c r="AE2" t="s">
        <v>46</v>
      </c>
      <c r="AF2" t="s">
        <v>46</v>
      </c>
      <c r="AG2" t="s">
        <v>46</v>
      </c>
      <c r="AH2" t="s">
        <v>46</v>
      </c>
      <c r="AI2" t="s">
        <v>46</v>
      </c>
      <c r="AJ2" t="s">
        <v>46</v>
      </c>
      <c r="AK2" t="s">
        <v>46</v>
      </c>
      <c r="AL2" t="s">
        <v>46</v>
      </c>
      <c r="AM2" t="s">
        <v>46</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36831.506944444445</v>
      </c>
      <c r="R3" s="64">
        <v>36917.430555555555</v>
      </c>
      <c r="S3" s="64">
        <v>37011.475694444445</v>
      </c>
      <c r="T3" s="64">
        <v>37106.461805555555</v>
      </c>
      <c r="U3" s="64">
        <v>37221.46527777778</v>
      </c>
      <c r="V3" s="64">
        <v>37383.427083333336</v>
      </c>
      <c r="W3" s="64">
        <v>37474.413194444445</v>
      </c>
      <c r="X3" s="64">
        <v>37585.50069444445</v>
      </c>
      <c r="Y3" s="64">
        <v>37648.43402777778</v>
      </c>
      <c r="Z3" s="64">
        <v>37746.444444444445</v>
      </c>
      <c r="AA3" s="64">
        <v>37837.43402777778</v>
      </c>
      <c r="AB3" s="64">
        <v>37949.541666666664</v>
      </c>
      <c r="AC3" s="64">
        <v>38027.444444444445</v>
      </c>
      <c r="AD3" s="64">
        <v>38111.42361111111</v>
      </c>
      <c r="AE3" s="64">
        <v>38202.399305555555</v>
      </c>
      <c r="AF3" s="64">
        <v>38335.50347222222</v>
      </c>
      <c r="AG3" s="64">
        <v>38393.375</v>
      </c>
      <c r="AH3" s="64">
        <v>38477.424305555556</v>
      </c>
      <c r="AI3" s="64">
        <v>38593.43402777778</v>
      </c>
      <c r="AJ3" s="64">
        <v>38679.666666666664</v>
      </c>
      <c r="AK3" s="64">
        <v>38776.42152777778</v>
      </c>
      <c r="AL3" s="64">
        <v>38869.385416666664</v>
      </c>
      <c r="AM3" s="64">
        <v>38960.410416666666</v>
      </c>
      <c r="AO3" s="64"/>
      <c r="AP3" s="64"/>
      <c r="AQ3" s="64"/>
    </row>
    <row r="4" spans="2:39" ht="12.75">
      <c r="B4" s="68" t="s">
        <v>103</v>
      </c>
      <c r="C4" s="93" t="s">
        <v>4</v>
      </c>
      <c r="D4" s="81">
        <f>COUNT(Q4:EC4)</f>
        <v>20</v>
      </c>
      <c r="E4" s="82">
        <f>AVERAGE(Q4:EC4)</f>
        <v>0.22440000000000002</v>
      </c>
      <c r="F4" s="82">
        <f aca="true" t="shared" si="0" ref="F4:F15">CONFIDENCE(0.05,G4,D4)</f>
        <v>0.110372930680023</v>
      </c>
      <c r="G4" s="82">
        <f>STDEV(Q4:EC4)</f>
        <v>0.2518427663193215</v>
      </c>
      <c r="H4" s="82">
        <f>QUARTILE(Q4:EC4,2)</f>
        <v>0.13</v>
      </c>
      <c r="I4" s="82">
        <f>MIN(Q4:EC4)</f>
        <v>0.028</v>
      </c>
      <c r="J4" s="82">
        <f>MAX(Q4:EC4)</f>
        <v>1.1</v>
      </c>
      <c r="K4" s="82">
        <f>PERCENTILE(Q4:EC4,0.95)</f>
        <v>0.5870000000000004</v>
      </c>
      <c r="L4" s="102" t="str">
        <f>IF((H4+H5)&lt;0.08,"A",IF((H4+H5)&lt;0.12,"B",IF((H4+H5)&lt;0.295,"C",IF((H4+H5)&lt;0.444,"D","E"))))</f>
        <v>C</v>
      </c>
      <c r="N4" s="116" t="s">
        <v>86</v>
      </c>
      <c r="O4" s="108"/>
      <c r="P4" t="s">
        <v>86</v>
      </c>
      <c r="R4">
        <v>0.13</v>
      </c>
      <c r="S4">
        <v>0.08</v>
      </c>
      <c r="V4">
        <v>0.11</v>
      </c>
      <c r="W4">
        <v>0.18</v>
      </c>
      <c r="X4">
        <v>0.044</v>
      </c>
      <c r="Y4">
        <v>0.028</v>
      </c>
      <c r="Z4">
        <v>0.086</v>
      </c>
      <c r="AA4">
        <v>0.12</v>
      </c>
      <c r="AB4">
        <v>0.051</v>
      </c>
      <c r="AC4">
        <v>0.069</v>
      </c>
      <c r="AD4">
        <v>0.21</v>
      </c>
      <c r="AE4">
        <v>0.36</v>
      </c>
      <c r="AF4">
        <v>0.11</v>
      </c>
      <c r="AG4">
        <v>0.15</v>
      </c>
      <c r="AH4">
        <v>0.13</v>
      </c>
      <c r="AI4">
        <v>0.56</v>
      </c>
      <c r="AJ4">
        <v>0.15</v>
      </c>
      <c r="AK4">
        <v>0.36</v>
      </c>
      <c r="AL4">
        <v>1.1</v>
      </c>
      <c r="AM4">
        <v>0.46</v>
      </c>
    </row>
    <row r="5" spans="2:39" ht="12.75">
      <c r="B5" s="69"/>
      <c r="C5" s="5" t="s">
        <v>5</v>
      </c>
      <c r="D5" s="73">
        <f>COUNT(Q5:EC5)</f>
        <v>18</v>
      </c>
      <c r="E5" s="112">
        <f>AVERAGE(Q5:EC5)</f>
        <v>0.0058333333333333345</v>
      </c>
      <c r="F5" s="112">
        <f t="shared" si="0"/>
        <v>0.000967086930519726</v>
      </c>
      <c r="G5" s="112">
        <f>STDEV(Q5:EC5)</f>
        <v>0.0020934070175616746</v>
      </c>
      <c r="H5" s="112">
        <f>QUARTILE(Q5:EC5,2)</f>
        <v>0.005</v>
      </c>
      <c r="I5" s="112">
        <f>MIN(Q5:EC5)</f>
        <v>0.005</v>
      </c>
      <c r="J5" s="112">
        <f>MAX(Q5:EC5)</f>
        <v>0.012</v>
      </c>
      <c r="K5" s="112">
        <f>PERCENTILE(Q5:EC5,0.95)</f>
        <v>0.011149999999999998</v>
      </c>
      <c r="L5" s="102"/>
      <c r="N5" s="116" t="s">
        <v>87</v>
      </c>
      <c r="O5" s="108"/>
      <c r="P5" t="s">
        <v>87</v>
      </c>
      <c r="V5">
        <v>0.005</v>
      </c>
      <c r="W5">
        <v>0.011</v>
      </c>
      <c r="X5">
        <v>0.012</v>
      </c>
      <c r="Y5">
        <v>0.005</v>
      </c>
      <c r="Z5">
        <v>0.006</v>
      </c>
      <c r="AA5">
        <v>0.006</v>
      </c>
      <c r="AB5">
        <v>0.005</v>
      </c>
      <c r="AC5">
        <v>0.005</v>
      </c>
      <c r="AD5">
        <v>0.005</v>
      </c>
      <c r="AE5">
        <v>0.005</v>
      </c>
      <c r="AF5">
        <v>0.005</v>
      </c>
      <c r="AG5">
        <v>0.005</v>
      </c>
      <c r="AH5">
        <v>0.005</v>
      </c>
      <c r="AI5">
        <v>0.005</v>
      </c>
      <c r="AJ5">
        <v>0.005</v>
      </c>
      <c r="AK5">
        <v>0.005</v>
      </c>
      <c r="AL5">
        <v>0.005</v>
      </c>
      <c r="AM5">
        <v>0.005</v>
      </c>
    </row>
    <row r="6" spans="2:39" ht="12.75">
      <c r="B6" s="70"/>
      <c r="C6" s="94" t="s">
        <v>6</v>
      </c>
      <c r="D6" s="73">
        <f>COUNT(Q6:EC6)</f>
        <v>23</v>
      </c>
      <c r="E6" s="112">
        <f>AVERAGE(Q6:EC6)</f>
        <v>0.018086956521739136</v>
      </c>
      <c r="F6" s="112">
        <f t="shared" si="0"/>
        <v>0.001128762484846593</v>
      </c>
      <c r="G6" s="112">
        <f>STDEV(Q6:EC6)</f>
        <v>0.002761966418699495</v>
      </c>
      <c r="H6" s="112">
        <f>QUARTILE(Q6:EC6,2)</f>
        <v>0.018</v>
      </c>
      <c r="I6" s="112">
        <f>MIN(Q6:EC6)</f>
        <v>0.014</v>
      </c>
      <c r="J6" s="112">
        <f>MAX(Q6:EC6)</f>
        <v>0.022</v>
      </c>
      <c r="K6" s="112">
        <f>PERCENTILE(Q6:EC6,0.95)</f>
        <v>0.022</v>
      </c>
      <c r="L6" s="102" t="str">
        <f>IF((H6)&lt;0.005,"A",IF((H6)&lt;0.008,"B",IF((H6)&lt;0.026,"C",IF((H6)&lt;0.05,"D","E"))))</f>
        <v>C</v>
      </c>
      <c r="N6" s="116" t="s">
        <v>88</v>
      </c>
      <c r="O6" s="108"/>
      <c r="P6" t="s">
        <v>88</v>
      </c>
      <c r="Q6">
        <v>0.018</v>
      </c>
      <c r="R6">
        <v>0.015</v>
      </c>
      <c r="S6">
        <v>0.014</v>
      </c>
      <c r="T6">
        <v>0.02</v>
      </c>
      <c r="U6">
        <v>0.022</v>
      </c>
      <c r="V6">
        <v>0.021</v>
      </c>
      <c r="W6">
        <v>0.02</v>
      </c>
      <c r="X6">
        <v>0.017</v>
      </c>
      <c r="Y6">
        <v>0.016</v>
      </c>
      <c r="Z6">
        <v>0.017</v>
      </c>
      <c r="AA6">
        <v>0.022</v>
      </c>
      <c r="AB6">
        <v>0.019</v>
      </c>
      <c r="AC6">
        <v>0.021</v>
      </c>
      <c r="AD6">
        <v>0.022</v>
      </c>
      <c r="AE6">
        <v>0.021</v>
      </c>
      <c r="AF6">
        <v>0.016</v>
      </c>
      <c r="AG6">
        <v>0.02</v>
      </c>
      <c r="AH6">
        <v>0.015</v>
      </c>
      <c r="AI6">
        <v>0.017</v>
      </c>
      <c r="AJ6">
        <v>0.015</v>
      </c>
      <c r="AK6">
        <v>0.014</v>
      </c>
      <c r="AL6">
        <v>0.019</v>
      </c>
      <c r="AM6">
        <v>0.015</v>
      </c>
    </row>
    <row r="7" spans="2:39" ht="12.75">
      <c r="B7" s="71" t="s">
        <v>104</v>
      </c>
      <c r="C7" s="6" t="s">
        <v>7</v>
      </c>
      <c r="D7" s="86">
        <f>COUNT(Q7:EC7)</f>
        <v>23</v>
      </c>
      <c r="E7" s="113">
        <f>AVERAGE(Q7:EC7)</f>
        <v>7.522173913043478</v>
      </c>
      <c r="F7" s="113">
        <f t="shared" si="0"/>
        <v>0.16488706714123072</v>
      </c>
      <c r="G7" s="113">
        <f>STDEV(Q7:EC7)</f>
        <v>0.4034617985942562</v>
      </c>
      <c r="H7" s="113">
        <f>QUARTILE(Q7:EC7,2)</f>
        <v>7.48</v>
      </c>
      <c r="I7" s="113">
        <f>MIN(Q7:EC7)</f>
        <v>6.89</v>
      </c>
      <c r="J7" s="113">
        <f>MAX(Q7:EC7)</f>
        <v>8.56</v>
      </c>
      <c r="K7" s="113">
        <f>PERCENTILE(Q7:EC7,0.95)</f>
        <v>8.083</v>
      </c>
      <c r="L7" s="103" t="str">
        <f>IF(AND(7.2&lt;H7,H7&lt;9),"A",IF(AND(7.2&lt;=H7,H7&lt;=9),"B",IF(AND(6.5&lt;=H7,H7&lt;=9),"C",IF(AND(6.5&lt;=H7,H7&lt;=10),"D","E"))))</f>
        <v>A</v>
      </c>
      <c r="N7" s="116" t="s">
        <v>89</v>
      </c>
      <c r="O7" s="108"/>
      <c r="P7" t="s">
        <v>89</v>
      </c>
      <c r="Q7">
        <v>7.87</v>
      </c>
      <c r="R7">
        <v>7.24</v>
      </c>
      <c r="S7">
        <v>8.1</v>
      </c>
      <c r="T7">
        <v>7.27</v>
      </c>
      <c r="U7">
        <v>8.56</v>
      </c>
      <c r="V7">
        <v>7.18</v>
      </c>
      <c r="W7">
        <v>7.79</v>
      </c>
      <c r="X7">
        <v>7.68</v>
      </c>
      <c r="Y7">
        <v>7.68</v>
      </c>
      <c r="Z7">
        <v>7.77</v>
      </c>
      <c r="AA7">
        <v>7.48</v>
      </c>
      <c r="AB7">
        <v>6.95</v>
      </c>
      <c r="AC7">
        <v>7.46</v>
      </c>
      <c r="AD7">
        <v>7.2</v>
      </c>
      <c r="AE7">
        <v>7.28</v>
      </c>
      <c r="AF7">
        <v>7.84</v>
      </c>
      <c r="AG7">
        <v>7.4</v>
      </c>
      <c r="AH7">
        <v>6.97</v>
      </c>
      <c r="AI7">
        <v>7.55</v>
      </c>
      <c r="AJ7">
        <v>7.22</v>
      </c>
      <c r="AK7">
        <v>6.89</v>
      </c>
      <c r="AL7">
        <v>7.7</v>
      </c>
      <c r="AM7">
        <v>7.93</v>
      </c>
    </row>
    <row r="8" spans="2:39" ht="12.75">
      <c r="B8" s="71"/>
      <c r="C8" s="6" t="s">
        <v>8</v>
      </c>
      <c r="D8" s="81">
        <f>COUNT(Q8:EC8)</f>
        <v>23</v>
      </c>
      <c r="E8" s="44">
        <f>AVERAGE(Q8:EC8)</f>
        <v>11.301739130434783</v>
      </c>
      <c r="F8" s="44">
        <f t="shared" si="0"/>
        <v>1.0610818118802352</v>
      </c>
      <c r="G8" s="44">
        <f>STDEV(Q8:EC8)</f>
        <v>2.596358730246359</v>
      </c>
      <c r="H8" s="44">
        <f>QUARTILE(Q8:EC8,2)</f>
        <v>11.16</v>
      </c>
      <c r="I8" s="44">
        <f>MIN(Q8:EC8)</f>
        <v>7.3</v>
      </c>
      <c r="J8" s="44">
        <f>MAX(Q8:EC8)</f>
        <v>15.6</v>
      </c>
      <c r="K8" s="44">
        <f>PERCENTILE(Q8:EC8,0.95)</f>
        <v>14.489</v>
      </c>
      <c r="L8" s="102" t="str">
        <f>IF(H8&lt;18,"A",IF(H8&lt;20,"B",IF(H8&lt;22,"C",IF(H8&lt;25,"D","E"))))</f>
        <v>A</v>
      </c>
      <c r="N8" s="116" t="s">
        <v>90</v>
      </c>
      <c r="O8" s="108"/>
      <c r="P8" t="s">
        <v>90</v>
      </c>
      <c r="Q8">
        <v>11.8</v>
      </c>
      <c r="R8">
        <v>14.5</v>
      </c>
      <c r="S8">
        <v>12.2</v>
      </c>
      <c r="T8">
        <v>7.3</v>
      </c>
      <c r="U8">
        <v>11.11</v>
      </c>
      <c r="V8">
        <v>11.16</v>
      </c>
      <c r="W8">
        <v>7.9</v>
      </c>
      <c r="X8">
        <v>12.3</v>
      </c>
      <c r="Y8">
        <v>13.5</v>
      </c>
      <c r="Z8">
        <v>10.7</v>
      </c>
      <c r="AA8">
        <v>8.3</v>
      </c>
      <c r="AB8">
        <v>13.8</v>
      </c>
      <c r="AC8">
        <v>14.2</v>
      </c>
      <c r="AD8">
        <v>10.6</v>
      </c>
      <c r="AE8">
        <v>7.4</v>
      </c>
      <c r="AF8">
        <v>13.1</v>
      </c>
      <c r="AG8">
        <v>15.6</v>
      </c>
      <c r="AH8">
        <v>10.5</v>
      </c>
      <c r="AI8">
        <v>8.6</v>
      </c>
      <c r="AJ8">
        <v>14.06</v>
      </c>
      <c r="AK8">
        <v>14.39</v>
      </c>
      <c r="AL8">
        <v>9.12</v>
      </c>
      <c r="AM8">
        <v>7.8</v>
      </c>
    </row>
    <row r="9" spans="2:39" ht="12.75">
      <c r="B9" s="71"/>
      <c r="C9" s="7" t="s">
        <v>9</v>
      </c>
      <c r="D9" s="81">
        <f>COUNT(Q9:EC9)</f>
        <v>23</v>
      </c>
      <c r="E9" s="44">
        <f>AVERAGE(Q9:EC9)</f>
        <v>99.15652173913043</v>
      </c>
      <c r="F9" s="44">
        <f t="shared" si="0"/>
        <v>1.989254053144054</v>
      </c>
      <c r="G9" s="44">
        <f>STDEV(Q9:EC9)</f>
        <v>4.867501327165782</v>
      </c>
      <c r="H9" s="44">
        <f>QUARTILE(Q9:EC9,2)</f>
        <v>98.1</v>
      </c>
      <c r="I9" s="44">
        <f>MIN(Q9:EC9)</f>
        <v>91.1</v>
      </c>
      <c r="J9" s="44">
        <f>MAX(Q9:EC9)</f>
        <v>113.6</v>
      </c>
      <c r="K9" s="44">
        <f>PERCENTILE(Q9:EC9,0.95)</f>
        <v>104.95</v>
      </c>
      <c r="L9" s="104" t="str">
        <f>IF(AND(99&lt;=H9,H9&lt;=103),"A",IF(AND(98&lt;=H9,H9&lt;=105),"B",IF(H9&gt;90,"C",IF(H9&gt;80,"D","E"))))</f>
        <v>B</v>
      </c>
      <c r="N9" s="116" t="s">
        <v>91</v>
      </c>
      <c r="O9" s="108"/>
      <c r="P9" t="s">
        <v>91</v>
      </c>
      <c r="Q9">
        <v>101.3</v>
      </c>
      <c r="R9">
        <v>91.1</v>
      </c>
      <c r="S9">
        <v>92.2</v>
      </c>
      <c r="T9">
        <v>97.5</v>
      </c>
      <c r="U9">
        <v>104.5</v>
      </c>
      <c r="V9">
        <v>97.3</v>
      </c>
      <c r="W9">
        <v>102.3</v>
      </c>
      <c r="X9">
        <v>101.9</v>
      </c>
      <c r="Y9">
        <v>92.3</v>
      </c>
      <c r="Z9">
        <v>95.8</v>
      </c>
      <c r="AA9">
        <v>97.8</v>
      </c>
      <c r="AB9">
        <v>102.4</v>
      </c>
      <c r="AC9">
        <v>96.9</v>
      </c>
      <c r="AD9">
        <v>98.1</v>
      </c>
      <c r="AE9">
        <v>96.3</v>
      </c>
      <c r="AF9">
        <v>101.4</v>
      </c>
      <c r="AG9">
        <v>105</v>
      </c>
      <c r="AH9">
        <v>101.4</v>
      </c>
      <c r="AI9">
        <v>113.6</v>
      </c>
      <c r="AJ9">
        <v>98.1</v>
      </c>
      <c r="AK9">
        <v>96.2</v>
      </c>
      <c r="AL9">
        <v>97.4</v>
      </c>
      <c r="AM9">
        <v>99.8</v>
      </c>
    </row>
    <row r="10" spans="2:39" ht="12.75">
      <c r="B10" s="71"/>
      <c r="C10" s="6" t="s">
        <v>10</v>
      </c>
      <c r="D10" s="81">
        <f>COUNT(Q10:EC10)</f>
        <v>23</v>
      </c>
      <c r="E10" s="44">
        <f>AVERAGE(Q10:EC10)</f>
        <v>10.885739130434782</v>
      </c>
      <c r="F10" s="44">
        <f t="shared" si="0"/>
        <v>0.38233454445611575</v>
      </c>
      <c r="G10" s="44">
        <f>STDEV(Q10:EC10)</f>
        <v>0.9355335481760615</v>
      </c>
      <c r="H10" s="44">
        <f>QUARTILE(Q10:EC10,2)</f>
        <v>10.91</v>
      </c>
      <c r="I10" s="44">
        <f>MIN(Q10:EC10)</f>
        <v>9.25</v>
      </c>
      <c r="J10" s="44">
        <f>MAX(Q10:EC10)</f>
        <v>13.25</v>
      </c>
      <c r="K10" s="44">
        <f>PERCENTILE(Q10:EC10,0.95)</f>
        <v>12.132</v>
      </c>
      <c r="L10" s="102"/>
      <c r="N10" s="116" t="s">
        <v>92</v>
      </c>
      <c r="O10" s="108"/>
      <c r="P10" t="s">
        <v>92</v>
      </c>
      <c r="Q10">
        <v>10.95</v>
      </c>
      <c r="R10">
        <v>9.25</v>
      </c>
      <c r="S10">
        <v>9.68</v>
      </c>
      <c r="T10">
        <v>11.75</v>
      </c>
      <c r="U10">
        <v>11.5</v>
      </c>
      <c r="V10">
        <v>10.67</v>
      </c>
      <c r="W10">
        <v>12.16</v>
      </c>
      <c r="X10">
        <v>10.91</v>
      </c>
      <c r="Y10">
        <v>9.63</v>
      </c>
      <c r="Z10">
        <v>10.64</v>
      </c>
      <c r="AA10">
        <v>11.51</v>
      </c>
      <c r="AB10">
        <v>10.6</v>
      </c>
      <c r="AC10">
        <v>9.95</v>
      </c>
      <c r="AD10">
        <v>10.91</v>
      </c>
      <c r="AE10">
        <v>11.57</v>
      </c>
      <c r="AF10">
        <v>10.65</v>
      </c>
      <c r="AG10">
        <v>10.45</v>
      </c>
      <c r="AH10">
        <v>11.32</v>
      </c>
      <c r="AI10">
        <v>13.25</v>
      </c>
      <c r="AJ10">
        <v>10.09</v>
      </c>
      <c r="AK10">
        <v>9.83</v>
      </c>
      <c r="AL10">
        <v>11.222</v>
      </c>
      <c r="AM10">
        <v>11.88</v>
      </c>
    </row>
    <row r="11" spans="2:39" ht="12.75">
      <c r="B11" s="72"/>
      <c r="C11" s="95" t="s">
        <v>11</v>
      </c>
      <c r="D11" s="87">
        <f>COUNT(Q11:EC11)</f>
        <v>23</v>
      </c>
      <c r="E11" s="115">
        <f>AVERAGE(Q11:EC11)</f>
        <v>137.0086956521739</v>
      </c>
      <c r="F11" s="115">
        <f t="shared" si="0"/>
        <v>9.900116327984332</v>
      </c>
      <c r="G11" s="115">
        <f>STDEV(Q11:EC11)</f>
        <v>24.22457266802901</v>
      </c>
      <c r="H11" s="115">
        <f>QUARTILE(Q11:EC11,2)</f>
        <v>140</v>
      </c>
      <c r="I11" s="115">
        <f>MIN(Q11:EC11)</f>
        <v>86</v>
      </c>
      <c r="J11" s="115">
        <f>MAX(Q11:EC11)</f>
        <v>182</v>
      </c>
      <c r="K11" s="115">
        <f>PERCENTILE(Q11:EC11,0.95)</f>
        <v>175.89999999999998</v>
      </c>
      <c r="L11" s="105"/>
      <c r="N11" s="116" t="s">
        <v>93</v>
      </c>
      <c r="O11" s="108"/>
      <c r="P11" t="s">
        <v>93</v>
      </c>
      <c r="Q11">
        <v>115.1</v>
      </c>
      <c r="R11">
        <v>163</v>
      </c>
      <c r="S11">
        <v>160.7</v>
      </c>
      <c r="T11">
        <v>143.4</v>
      </c>
      <c r="U11">
        <v>86</v>
      </c>
      <c r="V11">
        <v>140</v>
      </c>
      <c r="W11">
        <v>132</v>
      </c>
      <c r="X11">
        <v>133</v>
      </c>
      <c r="Y11">
        <v>153</v>
      </c>
      <c r="Z11">
        <v>136</v>
      </c>
      <c r="AA11">
        <v>140</v>
      </c>
      <c r="AB11">
        <v>140</v>
      </c>
      <c r="AC11">
        <v>122</v>
      </c>
      <c r="AD11">
        <v>105</v>
      </c>
      <c r="AE11">
        <v>95</v>
      </c>
      <c r="AF11">
        <v>134</v>
      </c>
      <c r="AG11">
        <v>142</v>
      </c>
      <c r="AH11">
        <v>166</v>
      </c>
      <c r="AI11">
        <v>120</v>
      </c>
      <c r="AJ11">
        <v>177</v>
      </c>
      <c r="AK11">
        <v>182</v>
      </c>
      <c r="AL11">
        <v>119</v>
      </c>
      <c r="AM11">
        <v>147</v>
      </c>
    </row>
    <row r="12" spans="2:39" ht="12.75">
      <c r="B12" s="68" t="s">
        <v>105</v>
      </c>
      <c r="C12" s="4" t="s">
        <v>12</v>
      </c>
      <c r="D12" s="81">
        <f>COUNT(Q12:EC12)</f>
        <v>23</v>
      </c>
      <c r="E12" s="82">
        <f>AVERAGE(Q12:EC12)</f>
        <v>2.267391304347826</v>
      </c>
      <c r="F12" s="82">
        <f t="shared" si="0"/>
        <v>0.8639437572354809</v>
      </c>
      <c r="G12" s="82">
        <f>STDEV(Q12:EC12)</f>
        <v>2.1139820619160345</v>
      </c>
      <c r="H12" s="82">
        <f>QUARTILE(Q12:EC12,2)</f>
        <v>1.5</v>
      </c>
      <c r="I12" s="82">
        <f>MIN(Q12:EC12)</f>
        <v>0.59</v>
      </c>
      <c r="J12" s="82">
        <f>MAX(Q12:EC12)</f>
        <v>10.3</v>
      </c>
      <c r="K12" s="82">
        <f>PERCENTILE(Q12:EC12,0.95)</f>
        <v>4.973999999999998</v>
      </c>
      <c r="L12" s="102" t="str">
        <f>IF(H12&lt;1,"A",IF(H12&lt;2,"B",IF(H12&lt;3,"C",IF(H12&lt;5,"D","E"))))</f>
        <v>B</v>
      </c>
      <c r="N12" s="116" t="s">
        <v>94</v>
      </c>
      <c r="O12" s="108"/>
      <c r="P12" t="s">
        <v>94</v>
      </c>
      <c r="Q12">
        <v>1.5</v>
      </c>
      <c r="R12">
        <v>0.96</v>
      </c>
      <c r="S12">
        <v>0.59</v>
      </c>
      <c r="T12">
        <v>1.07</v>
      </c>
      <c r="U12">
        <v>3.92</v>
      </c>
      <c r="V12">
        <v>5.06</v>
      </c>
      <c r="W12">
        <v>1.54</v>
      </c>
      <c r="X12">
        <v>2.91</v>
      </c>
      <c r="Y12">
        <v>1.02</v>
      </c>
      <c r="Z12">
        <v>0.77</v>
      </c>
      <c r="AA12">
        <v>4.2</v>
      </c>
      <c r="AB12">
        <v>1.73</v>
      </c>
      <c r="AC12">
        <v>1.2</v>
      </c>
      <c r="AD12">
        <v>10.3</v>
      </c>
      <c r="AE12">
        <v>2.5</v>
      </c>
      <c r="AF12">
        <v>1.07</v>
      </c>
      <c r="AG12">
        <v>1.6</v>
      </c>
      <c r="AH12">
        <v>1.07</v>
      </c>
      <c r="AI12">
        <v>1.35</v>
      </c>
      <c r="AJ12">
        <v>1.37</v>
      </c>
      <c r="AK12">
        <v>1.23</v>
      </c>
      <c r="AL12">
        <v>2.09</v>
      </c>
      <c r="AM12">
        <v>3.1</v>
      </c>
    </row>
    <row r="13" spans="2:39" ht="12.75">
      <c r="B13" s="71"/>
      <c r="C13" s="6" t="s">
        <v>13</v>
      </c>
      <c r="D13" s="81">
        <f>COUNT(Q13:EC13)</f>
        <v>23</v>
      </c>
      <c r="E13" s="44">
        <f>AVERAGE(Q13:EC13)</f>
        <v>2.630434782608696</v>
      </c>
      <c r="F13" s="44">
        <f t="shared" si="0"/>
        <v>0.3040073282332905</v>
      </c>
      <c r="G13" s="44">
        <f>STDEV(Q13:EC13)</f>
        <v>0.7438748566604062</v>
      </c>
      <c r="H13" s="44">
        <f>QUARTILE(Q13:EC13,2)</f>
        <v>2.7</v>
      </c>
      <c r="I13" s="44">
        <f>MIN(Q13:EC13)</f>
        <v>0.8</v>
      </c>
      <c r="J13" s="44">
        <f>MAX(Q13:EC13)</f>
        <v>3.8</v>
      </c>
      <c r="K13" s="44">
        <f>PERCENTILE(Q13:EC13,0.95)</f>
        <v>3.69</v>
      </c>
      <c r="L13" s="102" t="str">
        <f>IF(H13&gt;6,"A",IF(H13&gt;4,"B",IF(H13&gt;2.5,"C",IF(H13&gt;0.6,"D","E"))))</f>
        <v>C</v>
      </c>
      <c r="N13" s="116" t="s">
        <v>13</v>
      </c>
      <c r="O13" s="108"/>
      <c r="P13" t="s">
        <v>13</v>
      </c>
      <c r="Q13">
        <v>2.25</v>
      </c>
      <c r="R13">
        <v>2.8</v>
      </c>
      <c r="S13">
        <v>3</v>
      </c>
      <c r="T13">
        <v>2.6</v>
      </c>
      <c r="U13">
        <v>2.4</v>
      </c>
      <c r="V13">
        <v>2.1</v>
      </c>
      <c r="W13">
        <v>3.7</v>
      </c>
      <c r="X13">
        <v>1.7</v>
      </c>
      <c r="Y13">
        <v>3.8</v>
      </c>
      <c r="Z13">
        <v>3.5</v>
      </c>
      <c r="AA13">
        <v>1.8</v>
      </c>
      <c r="AB13">
        <v>3.1</v>
      </c>
      <c r="AC13">
        <v>3.1</v>
      </c>
      <c r="AD13">
        <v>0.8</v>
      </c>
      <c r="AE13">
        <v>3.3</v>
      </c>
      <c r="AF13">
        <v>2.9</v>
      </c>
      <c r="AG13">
        <v>3.6</v>
      </c>
      <c r="AH13">
        <v>2.7</v>
      </c>
      <c r="AI13">
        <v>2.9</v>
      </c>
      <c r="AJ13">
        <v>1.75</v>
      </c>
      <c r="AK13">
        <v>2.5</v>
      </c>
      <c r="AL13">
        <v>2</v>
      </c>
      <c r="AM13">
        <v>2.2</v>
      </c>
    </row>
    <row r="14" spans="2:39" ht="12.75">
      <c r="B14" s="72"/>
      <c r="C14" s="95" t="s">
        <v>14</v>
      </c>
      <c r="D14" s="87">
        <f>COUNT(Q14:EC14)</f>
        <v>23</v>
      </c>
      <c r="E14" s="115">
        <f>AVERAGE(Q14:EC14)</f>
        <v>1.6173913043478263</v>
      </c>
      <c r="F14" s="115">
        <f t="shared" si="0"/>
        <v>0.6364326210893382</v>
      </c>
      <c r="G14" s="115">
        <f>STDEV(Q14:EC14)</f>
        <v>1.5572855678779498</v>
      </c>
      <c r="H14" s="115">
        <f>QUARTILE(Q14:EC14,2)</f>
        <v>1</v>
      </c>
      <c r="I14" s="115">
        <f>MIN(Q14:EC14)</f>
        <v>0.4</v>
      </c>
      <c r="J14" s="115">
        <f>MAX(Q14:EC14)</f>
        <v>6</v>
      </c>
      <c r="K14" s="115">
        <f>PERCENTILE(Q14:EC14,0.95)</f>
        <v>5.699999999999996</v>
      </c>
      <c r="L14" s="102"/>
      <c r="N14" s="116" t="s">
        <v>95</v>
      </c>
      <c r="O14" s="108"/>
      <c r="P14" t="s">
        <v>95</v>
      </c>
      <c r="Q14">
        <v>3</v>
      </c>
      <c r="R14">
        <v>6</v>
      </c>
      <c r="S14">
        <v>1</v>
      </c>
      <c r="T14">
        <v>1</v>
      </c>
      <c r="U14">
        <v>1</v>
      </c>
      <c r="V14">
        <v>0.4</v>
      </c>
      <c r="W14">
        <v>0.7</v>
      </c>
      <c r="X14">
        <v>2</v>
      </c>
      <c r="Y14">
        <v>0.7</v>
      </c>
      <c r="Z14">
        <v>0.5</v>
      </c>
      <c r="AA14">
        <v>3</v>
      </c>
      <c r="AB14">
        <v>0.7</v>
      </c>
      <c r="AC14">
        <v>1</v>
      </c>
      <c r="AD14">
        <v>6</v>
      </c>
      <c r="AE14">
        <v>1</v>
      </c>
      <c r="AF14">
        <v>0.8</v>
      </c>
      <c r="AG14">
        <v>0.8</v>
      </c>
      <c r="AH14">
        <v>0.6</v>
      </c>
      <c r="AI14">
        <v>1</v>
      </c>
      <c r="AJ14">
        <v>1</v>
      </c>
      <c r="AK14">
        <v>2</v>
      </c>
      <c r="AL14">
        <v>1</v>
      </c>
      <c r="AM14">
        <v>2</v>
      </c>
    </row>
    <row r="15" spans="2:39" ht="12.75">
      <c r="B15" s="208" t="s">
        <v>267</v>
      </c>
      <c r="C15" s="8" t="s">
        <v>268</v>
      </c>
      <c r="D15" s="81">
        <f>COUNT(Q15:EC15)</f>
        <v>23</v>
      </c>
      <c r="E15" s="40">
        <f>AVERAGE(Q15:EC15)</f>
        <v>17.47826086956522</v>
      </c>
      <c r="F15" s="40">
        <f t="shared" si="0"/>
        <v>8.069734561785268</v>
      </c>
      <c r="G15" s="40">
        <f>STDEV(Q15:EC15)</f>
        <v>19.74581558714608</v>
      </c>
      <c r="H15" s="40">
        <f>QUARTILE(Q15:EC15,2)</f>
        <v>10</v>
      </c>
      <c r="I15" s="40">
        <f>MIN(Q15:EC15)</f>
        <v>2</v>
      </c>
      <c r="J15" s="40">
        <f>MAX(Q15:EC15)</f>
        <v>80</v>
      </c>
      <c r="K15" s="40">
        <f>PERCENTILE(Q15:EC15,0.95)</f>
        <v>53.49999999999998</v>
      </c>
      <c r="L15" s="106" t="str">
        <f>IF(H15&lt;10,"A",IF(H15&lt;130,"B",IF(H15&lt;260,"C",IF(H15&lt;550,"D","E"))))</f>
        <v>B</v>
      </c>
      <c r="N15" s="116" t="s">
        <v>255</v>
      </c>
      <c r="O15" s="108"/>
      <c r="P15" t="s">
        <v>255</v>
      </c>
      <c r="Q15">
        <v>10</v>
      </c>
      <c r="R15">
        <v>55</v>
      </c>
      <c r="S15">
        <v>10</v>
      </c>
      <c r="T15">
        <v>5</v>
      </c>
      <c r="U15">
        <v>30</v>
      </c>
      <c r="V15">
        <v>5</v>
      </c>
      <c r="W15">
        <v>5</v>
      </c>
      <c r="X15">
        <v>5</v>
      </c>
      <c r="Y15">
        <v>5</v>
      </c>
      <c r="Z15">
        <v>5</v>
      </c>
      <c r="AA15">
        <v>5</v>
      </c>
      <c r="AB15">
        <v>5</v>
      </c>
      <c r="AC15">
        <v>40</v>
      </c>
      <c r="AD15">
        <v>80</v>
      </c>
      <c r="AE15">
        <v>2</v>
      </c>
      <c r="AF15">
        <v>10</v>
      </c>
      <c r="AG15">
        <v>35</v>
      </c>
      <c r="AH15">
        <v>10</v>
      </c>
      <c r="AI15">
        <v>10</v>
      </c>
      <c r="AJ15">
        <v>20</v>
      </c>
      <c r="AK15">
        <v>35</v>
      </c>
      <c r="AL15">
        <v>10</v>
      </c>
      <c r="AM15">
        <v>5</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112.39216666666665</v>
      </c>
      <c r="F17" s="44">
        <f>CONFIDENCE(0.05,G17,D17)</f>
        <v>6.638289714575465</v>
      </c>
      <c r="G17" s="44">
        <f>STDEV(Q17:EC17)</f>
        <v>8.296286408186992</v>
      </c>
      <c r="H17" s="44">
        <f>QUARTILE(Q17:EC17,2)</f>
        <v>114</v>
      </c>
      <c r="I17" s="44">
        <f>MIN(Q17:EC17)</f>
        <v>102.353</v>
      </c>
      <c r="J17" s="44">
        <f>MAX(Q17:EC17)</f>
        <v>121</v>
      </c>
      <c r="K17" s="44">
        <f>PERCENTILE(Q17:EC17,0.95)</f>
        <v>120.75</v>
      </c>
      <c r="L17" s="102" t="str">
        <f>IF(H17&gt;120,"A",IF(H17&gt;100,"B",IF(H17&gt;80,"C",IF(H17&gt;60,"D","E"))))</f>
        <v>B</v>
      </c>
      <c r="N17" s="116" t="s">
        <v>17</v>
      </c>
      <c r="O17" s="108"/>
      <c r="P17" t="s">
        <v>17</v>
      </c>
      <c r="Q17">
        <v>117</v>
      </c>
      <c r="U17">
        <v>120</v>
      </c>
      <c r="X17">
        <v>103</v>
      </c>
      <c r="AB17">
        <v>121</v>
      </c>
      <c r="AF17">
        <v>111</v>
      </c>
      <c r="AJ17">
        <v>102.353</v>
      </c>
    </row>
    <row r="18" spans="2:36" ht="12.75">
      <c r="B18" s="74"/>
      <c r="C18" s="96" t="s">
        <v>18</v>
      </c>
      <c r="D18" s="81">
        <f>COUNT(Q18:EC18)</f>
        <v>6</v>
      </c>
      <c r="E18" s="44">
        <f>AVERAGE(Q18:EC18)</f>
        <v>5.0361666666666665</v>
      </c>
      <c r="F18" s="44">
        <f>CONFIDENCE(0.05,G18,D18)</f>
        <v>0.733541742242392</v>
      </c>
      <c r="G18" s="44">
        <f>STDEV(Q18:EC18)</f>
        <v>0.9167530565352188</v>
      </c>
      <c r="H18" s="44">
        <f>QUARTILE(Q18:EC18,2)</f>
        <v>4.76</v>
      </c>
      <c r="I18" s="44">
        <f>MIN(Q18:EC18)</f>
        <v>4.227</v>
      </c>
      <c r="J18" s="44">
        <f>MAX(Q18:EC18)</f>
        <v>6.69</v>
      </c>
      <c r="K18" s="44">
        <f>PERCENTILE(Q18:EC18,0.95)</f>
        <v>6.375</v>
      </c>
      <c r="L18" s="105" t="str">
        <f>IF(H18&gt;6,"A",IF(H18&gt;5,"B",IF(H18&gt;4,"C",IF(H18&gt;3,"D","E"))))</f>
        <v>C</v>
      </c>
      <c r="N18" s="116" t="s">
        <v>18</v>
      </c>
      <c r="O18" s="108"/>
      <c r="P18" t="s">
        <v>18</v>
      </c>
      <c r="Q18">
        <v>4.35</v>
      </c>
      <c r="U18">
        <v>6.69</v>
      </c>
      <c r="X18">
        <v>4.63</v>
      </c>
      <c r="AB18">
        <v>5.43</v>
      </c>
      <c r="AF18">
        <v>4.89</v>
      </c>
      <c r="AJ18">
        <v>4.227</v>
      </c>
    </row>
    <row r="19" spans="2:36" ht="12.75">
      <c r="B19" s="71" t="s">
        <v>106</v>
      </c>
      <c r="C19" s="7" t="s">
        <v>19</v>
      </c>
      <c r="D19" s="86">
        <f>COUNT(Q19:EC19)</f>
        <v>7</v>
      </c>
      <c r="E19" s="113">
        <f>AVERAGE(Q19:EC19)</f>
        <v>7.913428571428573</v>
      </c>
      <c r="F19" s="113">
        <f>CONFIDENCE(0.05,G19,D19)</f>
        <v>0.7651641418347959</v>
      </c>
      <c r="G19" s="113">
        <f>STDEV(Q19:EC19)</f>
        <v>1.0328934854964178</v>
      </c>
      <c r="H19" s="113">
        <f>QUARTILE(Q19:EC19,2)</f>
        <v>8.074</v>
      </c>
      <c r="I19" s="113">
        <f>MIN(Q19:EC19)</f>
        <v>6.11</v>
      </c>
      <c r="J19" s="113">
        <f>MAX(Q19:EC19)</f>
        <v>9.2</v>
      </c>
      <c r="K19" s="113">
        <f>PERCENTILE(Q19:EC19,0.95)</f>
        <v>9.049999999999999</v>
      </c>
      <c r="L19" s="102" t="str">
        <f>IF(H19&gt;8,"A",IF(H19&gt;6,"B",IF(H19&gt;4,"C",IF(H19&gt;2,"D","E"))))</f>
        <v>A</v>
      </c>
      <c r="N19" s="116" t="s">
        <v>96</v>
      </c>
      <c r="O19" s="108"/>
      <c r="P19" t="s">
        <v>96</v>
      </c>
      <c r="R19">
        <v>6.11</v>
      </c>
      <c r="S19">
        <v>7.06</v>
      </c>
      <c r="T19">
        <v>8.25</v>
      </c>
      <c r="X19">
        <v>8</v>
      </c>
      <c r="AB19">
        <v>9.2</v>
      </c>
      <c r="AF19">
        <v>8.7</v>
      </c>
      <c r="AJ19">
        <v>8.074</v>
      </c>
    </row>
    <row r="20" spans="2:36" ht="12.75">
      <c r="B20" s="72"/>
      <c r="C20" s="97" t="s">
        <v>122</v>
      </c>
      <c r="D20" s="87">
        <f>COUNT(Q20:EC20)</f>
        <v>4</v>
      </c>
      <c r="E20" s="114">
        <f>AVERAGE(Q20:EC20)</f>
        <v>1.375</v>
      </c>
      <c r="F20" s="114">
        <f>CONFIDENCE(0.05,G20,D20)</f>
        <v>1.3493299893742894</v>
      </c>
      <c r="G20" s="114">
        <f>STDEV(Q20:EC20)</f>
        <v>1.3768926368215255</v>
      </c>
      <c r="H20" s="114">
        <f>QUARTILE(Q20:EC20,2)</f>
        <v>1.25</v>
      </c>
      <c r="I20" s="114">
        <f>MIN(Q20:EC20)</f>
        <v>0</v>
      </c>
      <c r="J20" s="114">
        <f>MAX(Q20:EC20)</f>
        <v>3</v>
      </c>
      <c r="K20" s="114">
        <f>PERCENTILE(Q20:EC20,0.95)</f>
        <v>2.8499999999999996</v>
      </c>
      <c r="L20" s="105"/>
      <c r="N20" s="116" t="s">
        <v>97</v>
      </c>
      <c r="O20" s="108"/>
      <c r="P20" t="s">
        <v>97</v>
      </c>
      <c r="X20">
        <v>3</v>
      </c>
      <c r="AB20">
        <v>0</v>
      </c>
      <c r="AF20">
        <v>2</v>
      </c>
      <c r="AJ20">
        <v>0.5</v>
      </c>
    </row>
    <row r="21" spans="2:15" ht="12.75">
      <c r="B21" s="71" t="s">
        <v>112</v>
      </c>
      <c r="C21" s="118" t="s">
        <v>21</v>
      </c>
      <c r="D21" s="141">
        <v>3</v>
      </c>
      <c r="E21" s="160">
        <v>0.25</v>
      </c>
      <c r="F21" s="161"/>
      <c r="G21" s="161"/>
      <c r="H21" s="161"/>
      <c r="I21" s="161">
        <v>0.05</v>
      </c>
      <c r="J21" s="161">
        <v>0.6</v>
      </c>
      <c r="K21" s="120"/>
      <c r="L21" s="121" t="str">
        <f>IF(E21&gt;=H52,"E","A - D")</f>
        <v>A - D</v>
      </c>
      <c r="O21" s="108"/>
    </row>
    <row r="22" spans="2:15" ht="12.75">
      <c r="B22" s="73" t="s">
        <v>111</v>
      </c>
      <c r="C22" s="122" t="s">
        <v>22</v>
      </c>
      <c r="D22" s="141">
        <v>3</v>
      </c>
      <c r="E22" s="160">
        <v>31.333333333333332</v>
      </c>
      <c r="F22" s="161"/>
      <c r="G22" s="161"/>
      <c r="H22" s="161"/>
      <c r="I22" s="161">
        <v>29</v>
      </c>
      <c r="J22" s="161">
        <v>33</v>
      </c>
      <c r="K22" s="123"/>
      <c r="L22" s="121" t="str">
        <f aca="true" t="shared" si="1" ref="L22:L41">IF(E22&gt;=H53,"E","A - D")</f>
        <v>A - D</v>
      </c>
      <c r="N22" s="111"/>
      <c r="O22" s="108"/>
    </row>
    <row r="23" spans="2:15" ht="12.75">
      <c r="B23" s="73"/>
      <c r="C23" s="122" t="s">
        <v>23</v>
      </c>
      <c r="D23" s="141">
        <v>3</v>
      </c>
      <c r="E23" s="160">
        <v>17.333333333333332</v>
      </c>
      <c r="F23" s="161"/>
      <c r="G23" s="161"/>
      <c r="H23" s="161"/>
      <c r="I23" s="161">
        <v>16</v>
      </c>
      <c r="J23" s="161">
        <v>20</v>
      </c>
      <c r="K23" s="123"/>
      <c r="L23" s="121" t="str">
        <f t="shared" si="1"/>
        <v>A - D</v>
      </c>
      <c r="N23" s="111"/>
      <c r="O23" s="108"/>
    </row>
    <row r="24" spans="2:15" ht="12.75">
      <c r="B24" s="73"/>
      <c r="C24" s="122" t="s">
        <v>24</v>
      </c>
      <c r="D24" s="141">
        <v>3</v>
      </c>
      <c r="E24" s="160">
        <v>134</v>
      </c>
      <c r="F24" s="161"/>
      <c r="G24" s="161"/>
      <c r="H24" s="161"/>
      <c r="I24" s="161">
        <v>82</v>
      </c>
      <c r="J24" s="161">
        <v>220</v>
      </c>
      <c r="K24" s="123"/>
      <c r="L24" s="121" t="str">
        <f t="shared" si="1"/>
        <v>A - D</v>
      </c>
      <c r="N24" s="111"/>
      <c r="O24" s="108"/>
    </row>
    <row r="25" spans="2:15" ht="12.75">
      <c r="B25" s="71"/>
      <c r="C25" s="122"/>
      <c r="D25" s="146"/>
      <c r="E25" s="162"/>
      <c r="F25" s="163"/>
      <c r="G25" s="163"/>
      <c r="H25" s="163"/>
      <c r="I25" s="41"/>
      <c r="J25" s="41"/>
      <c r="K25" s="123"/>
      <c r="L25" s="121"/>
      <c r="O25" s="108"/>
    </row>
    <row r="26" spans="2:15" ht="12.75">
      <c r="B26" s="71"/>
      <c r="C26" s="122" t="s">
        <v>28</v>
      </c>
      <c r="D26" s="140">
        <v>2</v>
      </c>
      <c r="E26" s="164">
        <v>0.06703722633955184</v>
      </c>
      <c r="F26" s="163"/>
      <c r="G26" s="163"/>
      <c r="H26" s="163"/>
      <c r="I26" s="165">
        <v>0.03407445267910384</v>
      </c>
      <c r="J26" s="165">
        <v>0.1</v>
      </c>
      <c r="K26" s="123"/>
      <c r="L26" s="121" t="str">
        <f t="shared" si="1"/>
        <v>E</v>
      </c>
      <c r="O26" s="108"/>
    </row>
    <row r="27" spans="2:15" ht="12.75">
      <c r="B27" s="73"/>
      <c r="C27" s="122" t="s">
        <v>29</v>
      </c>
      <c r="D27" s="140">
        <v>2</v>
      </c>
      <c r="E27" s="164">
        <v>0.34427936404680604</v>
      </c>
      <c r="F27" s="166"/>
      <c r="G27" s="166"/>
      <c r="H27" s="166"/>
      <c r="I27" s="165">
        <v>0.1</v>
      </c>
      <c r="J27" s="165">
        <v>0.5885587280936118</v>
      </c>
      <c r="K27" s="120"/>
      <c r="L27" s="121" t="str">
        <f t="shared" si="1"/>
        <v>E</v>
      </c>
      <c r="O27" s="108"/>
    </row>
    <row r="28" spans="2:15" ht="12.75">
      <c r="B28" s="73"/>
      <c r="C28" s="122" t="s">
        <v>30</v>
      </c>
      <c r="D28" s="140">
        <v>2</v>
      </c>
      <c r="E28" s="164">
        <v>0.09801400150237369</v>
      </c>
      <c r="F28" s="166"/>
      <c r="G28" s="166"/>
      <c r="H28" s="166"/>
      <c r="I28" s="165">
        <v>0.09602800300474719</v>
      </c>
      <c r="J28" s="165">
        <v>0.1</v>
      </c>
      <c r="K28" s="120"/>
      <c r="L28" s="121" t="str">
        <f t="shared" si="1"/>
        <v>E</v>
      </c>
      <c r="O28" s="108"/>
    </row>
    <row r="29" spans="2:15" ht="12.75">
      <c r="B29" s="127"/>
      <c r="C29" s="128" t="s">
        <v>31</v>
      </c>
      <c r="D29" s="140"/>
      <c r="E29" s="164">
        <v>0.5093305918887315</v>
      </c>
      <c r="F29" s="166"/>
      <c r="G29" s="165"/>
      <c r="H29" s="165"/>
      <c r="I29" s="166"/>
      <c r="J29" s="166"/>
      <c r="K29" s="124"/>
      <c r="L29" s="121" t="str">
        <f t="shared" si="1"/>
        <v>A - D</v>
      </c>
      <c r="O29" s="108"/>
    </row>
    <row r="30" spans="2:15" ht="12.75">
      <c r="B30" s="73"/>
      <c r="C30" s="122" t="s">
        <v>32</v>
      </c>
      <c r="D30" s="140">
        <v>2</v>
      </c>
      <c r="E30" s="164">
        <v>0.535795754632964</v>
      </c>
      <c r="F30" s="166"/>
      <c r="G30" s="166"/>
      <c r="H30" s="166"/>
      <c r="I30" s="165">
        <v>0.26</v>
      </c>
      <c r="J30" s="165">
        <v>0.8115915092659278</v>
      </c>
      <c r="K30" s="120"/>
      <c r="L30" s="121" t="str">
        <f t="shared" si="1"/>
        <v>A - D</v>
      </c>
      <c r="O30" s="108"/>
    </row>
    <row r="31" spans="2:15" ht="12.75">
      <c r="B31" s="81"/>
      <c r="C31" s="122" t="s">
        <v>33</v>
      </c>
      <c r="D31" s="140">
        <v>2</v>
      </c>
      <c r="E31" s="164">
        <v>0.4691956880328975</v>
      </c>
      <c r="F31" s="167"/>
      <c r="G31" s="167"/>
      <c r="H31" s="167"/>
      <c r="I31" s="165">
        <v>0.26</v>
      </c>
      <c r="J31" s="165">
        <v>0.6783913760657946</v>
      </c>
      <c r="K31" s="120"/>
      <c r="L31" s="121" t="str">
        <f t="shared" si="1"/>
        <v>A - D</v>
      </c>
      <c r="O31" s="108"/>
    </row>
    <row r="32" spans="2:15" ht="12.75">
      <c r="B32" s="81"/>
      <c r="C32" s="122" t="s">
        <v>34</v>
      </c>
      <c r="D32" s="140">
        <v>2</v>
      </c>
      <c r="E32" s="164">
        <v>0.20798155333039053</v>
      </c>
      <c r="F32" s="167"/>
      <c r="G32" s="167"/>
      <c r="H32" s="167"/>
      <c r="I32" s="165">
        <v>0.1</v>
      </c>
      <c r="J32" s="165">
        <v>0.3159631066607811</v>
      </c>
      <c r="K32" s="120"/>
      <c r="L32" s="121" t="str">
        <f t="shared" si="1"/>
        <v>A - D</v>
      </c>
      <c r="O32" s="108"/>
    </row>
    <row r="33" spans="2:15" ht="12.75">
      <c r="B33" s="81"/>
      <c r="C33" s="122" t="s">
        <v>35</v>
      </c>
      <c r="D33" s="140">
        <v>2</v>
      </c>
      <c r="E33" s="164">
        <v>0.1692605843768635</v>
      </c>
      <c r="F33" s="167"/>
      <c r="G33" s="167"/>
      <c r="H33" s="167"/>
      <c r="I33" s="165">
        <v>0.1</v>
      </c>
      <c r="J33" s="165">
        <v>0.2385211687537269</v>
      </c>
      <c r="K33" s="129"/>
      <c r="L33" s="121" t="str">
        <f t="shared" si="1"/>
        <v>A - D</v>
      </c>
      <c r="O33" s="108"/>
    </row>
    <row r="34" spans="2:15" ht="12.75">
      <c r="B34" s="81"/>
      <c r="C34" s="122" t="s">
        <v>36</v>
      </c>
      <c r="D34" s="140">
        <v>2</v>
      </c>
      <c r="E34" s="164">
        <v>0.351483942414175</v>
      </c>
      <c r="F34" s="167"/>
      <c r="G34" s="167"/>
      <c r="H34" s="167"/>
      <c r="I34" s="165">
        <v>0.26</v>
      </c>
      <c r="J34" s="165">
        <v>0.4429678848283499</v>
      </c>
      <c r="K34" s="130"/>
      <c r="L34" s="121" t="str">
        <f t="shared" si="1"/>
        <v>A - D</v>
      </c>
      <c r="O34" s="108"/>
    </row>
    <row r="35" spans="2:15" ht="12.75">
      <c r="B35" s="81"/>
      <c r="C35" s="122" t="s">
        <v>37</v>
      </c>
      <c r="D35" s="140">
        <v>2</v>
      </c>
      <c r="E35" s="164">
        <v>0.125893099148913</v>
      </c>
      <c r="F35" s="167"/>
      <c r="G35" s="167"/>
      <c r="H35" s="167"/>
      <c r="I35" s="165">
        <v>0.1</v>
      </c>
      <c r="J35" s="165">
        <v>0.1517861982978262</v>
      </c>
      <c r="K35" s="124"/>
      <c r="L35" s="121" t="str">
        <f t="shared" si="1"/>
        <v>A - D</v>
      </c>
      <c r="O35" s="108"/>
    </row>
    <row r="36" spans="2:15" ht="12.75">
      <c r="B36" s="81"/>
      <c r="C36" s="122" t="s">
        <v>38</v>
      </c>
      <c r="D36" s="140">
        <v>2</v>
      </c>
      <c r="E36" s="164">
        <v>0.257274585879237</v>
      </c>
      <c r="F36" s="167"/>
      <c r="G36" s="167"/>
      <c r="H36" s="167"/>
      <c r="I36" s="165">
        <v>0.18</v>
      </c>
      <c r="J36" s="165">
        <v>0.3345491717584741</v>
      </c>
      <c r="K36" s="124"/>
      <c r="L36" s="121" t="str">
        <f t="shared" si="1"/>
        <v>A - D</v>
      </c>
      <c r="O36" s="108"/>
    </row>
    <row r="37" spans="2:15" ht="12.75">
      <c r="B37" s="81"/>
      <c r="C37" s="122" t="s">
        <v>39</v>
      </c>
      <c r="D37" s="140">
        <v>2</v>
      </c>
      <c r="E37" s="164">
        <v>0.07942793640468068</v>
      </c>
      <c r="F37" s="167"/>
      <c r="G37" s="167"/>
      <c r="H37" s="167"/>
      <c r="I37" s="165">
        <v>0.05885587280936118</v>
      </c>
      <c r="J37" s="165">
        <v>0.1</v>
      </c>
      <c r="K37" s="124"/>
      <c r="L37" s="121" t="str">
        <f t="shared" si="1"/>
        <v>E</v>
      </c>
      <c r="O37" s="108"/>
    </row>
    <row r="38" spans="2:15" ht="12.75">
      <c r="B38" s="81"/>
      <c r="C38" s="122" t="s">
        <v>40</v>
      </c>
      <c r="D38" s="140">
        <v>2</v>
      </c>
      <c r="E38" s="164">
        <v>0.1537721967954525</v>
      </c>
      <c r="F38" s="167"/>
      <c r="G38" s="167"/>
      <c r="H38" s="167"/>
      <c r="I38" s="165">
        <v>0.1</v>
      </c>
      <c r="J38" s="165">
        <v>0.20754439359090524</v>
      </c>
      <c r="K38" s="124"/>
      <c r="L38" s="121"/>
      <c r="O38" s="108"/>
    </row>
    <row r="39" spans="2:15" ht="12.75">
      <c r="B39" s="81"/>
      <c r="C39" s="122" t="s">
        <v>41</v>
      </c>
      <c r="D39" s="140">
        <v>2</v>
      </c>
      <c r="E39" s="164">
        <v>0.146028003004747</v>
      </c>
      <c r="F39" s="167"/>
      <c r="G39" s="167"/>
      <c r="H39" s="167"/>
      <c r="I39" s="165">
        <v>0.1</v>
      </c>
      <c r="J39" s="165">
        <v>0.19205600600949438</v>
      </c>
      <c r="K39" s="124"/>
      <c r="L39" s="121" t="str">
        <f t="shared" si="1"/>
        <v>E</v>
      </c>
      <c r="O39" s="108"/>
    </row>
    <row r="40" spans="2:15" ht="12.75">
      <c r="B40" s="127"/>
      <c r="C40" s="128" t="s">
        <v>42</v>
      </c>
      <c r="D40" s="140"/>
      <c r="E40" s="164">
        <v>2.496113344020321</v>
      </c>
      <c r="F40" s="167"/>
      <c r="G40" s="165"/>
      <c r="H40" s="165"/>
      <c r="I40" s="167"/>
      <c r="J40" s="167"/>
      <c r="K40" s="124"/>
      <c r="L40" s="121" t="str">
        <f t="shared" si="1"/>
        <v>E</v>
      </c>
      <c r="O40" s="108"/>
    </row>
    <row r="41" spans="2:15" ht="12.75">
      <c r="B41" s="127"/>
      <c r="C41" s="131" t="s">
        <v>43</v>
      </c>
      <c r="D41" s="140"/>
      <c r="E41" s="164">
        <v>3.0054439359090526</v>
      </c>
      <c r="F41" s="167"/>
      <c r="G41" s="165"/>
      <c r="H41" s="165"/>
      <c r="I41" s="167"/>
      <c r="J41" s="167"/>
      <c r="K41" s="124"/>
      <c r="L41" s="121" t="str">
        <f t="shared" si="1"/>
        <v>A - D</v>
      </c>
      <c r="O41" s="108"/>
    </row>
    <row r="42" spans="2:15" ht="12.75">
      <c r="B42" s="81"/>
      <c r="C42" s="122" t="s">
        <v>44</v>
      </c>
      <c r="D42" s="140">
        <v>2</v>
      </c>
      <c r="E42" s="164">
        <v>0.625</v>
      </c>
      <c r="F42" s="167"/>
      <c r="G42" s="167"/>
      <c r="H42" s="167"/>
      <c r="I42" s="165">
        <v>0.25</v>
      </c>
      <c r="J42" s="165">
        <v>1</v>
      </c>
      <c r="K42" s="124"/>
      <c r="L42" s="90"/>
      <c r="O42" s="108"/>
    </row>
    <row r="43" spans="2:15" ht="13.5" thickBot="1">
      <c r="B43" s="83"/>
      <c r="C43" s="133"/>
      <c r="D43" s="134"/>
      <c r="E43" s="84"/>
      <c r="F43" s="84"/>
      <c r="G43" s="84"/>
      <c r="H43" s="84"/>
      <c r="I43" s="84"/>
      <c r="J43" s="84"/>
      <c r="K43" s="84"/>
      <c r="L43" s="135"/>
      <c r="O43" s="108"/>
    </row>
    <row r="44" spans="2:12" ht="12.75">
      <c r="B44" s="80"/>
      <c r="C44" s="89"/>
      <c r="D44" s="89"/>
      <c r="E44" s="89"/>
      <c r="F44" s="89"/>
      <c r="G44" s="89"/>
      <c r="H44" s="89"/>
      <c r="I44" s="89"/>
      <c r="J44" s="89"/>
      <c r="K44" s="89"/>
      <c r="L44" s="100"/>
    </row>
    <row r="45" spans="2:12" ht="12.75">
      <c r="B45" s="210" t="s">
        <v>119</v>
      </c>
      <c r="C45" s="211"/>
      <c r="D45" s="211"/>
      <c r="E45" s="211"/>
      <c r="F45" s="211"/>
      <c r="G45" s="76" t="str">
        <f>'Combined Score Calcs'!H10</f>
        <v>C</v>
      </c>
      <c r="H45" s="39"/>
      <c r="I45" s="39"/>
      <c r="J45" s="39"/>
      <c r="K45" s="99"/>
      <c r="L45" s="90"/>
    </row>
    <row r="46" spans="2:12" ht="13.5" thickBot="1">
      <c r="B46" s="83"/>
      <c r="C46" s="84"/>
      <c r="D46" s="84"/>
      <c r="E46" s="84"/>
      <c r="F46" s="84"/>
      <c r="G46" s="84"/>
      <c r="H46" s="84"/>
      <c r="I46" s="84"/>
      <c r="J46" s="84"/>
      <c r="K46" s="84"/>
      <c r="L46" s="91"/>
    </row>
    <row r="47" ht="12.75">
      <c r="L47" s="60"/>
    </row>
    <row r="48" ht="12.75">
      <c r="L48" s="60"/>
    </row>
    <row r="49" ht="12.75">
      <c r="L49" s="60"/>
    </row>
    <row r="50" ht="12.75">
      <c r="L50" s="60"/>
    </row>
    <row r="51" spans="7:12" ht="12.75">
      <c r="G51" t="s">
        <v>140</v>
      </c>
      <c r="H51" t="s">
        <v>141</v>
      </c>
      <c r="L51" s="60"/>
    </row>
    <row r="52" spans="7:12" ht="12.75">
      <c r="G52" s="118" t="s">
        <v>21</v>
      </c>
      <c r="H52" s="136">
        <v>1.5</v>
      </c>
      <c r="I52" s="137">
        <v>10</v>
      </c>
      <c r="L52" s="60"/>
    </row>
    <row r="53" spans="7:12" ht="12.75">
      <c r="G53" s="122" t="s">
        <v>22</v>
      </c>
      <c r="H53" s="137">
        <v>65</v>
      </c>
      <c r="I53" s="137">
        <v>270</v>
      </c>
      <c r="L53" s="60"/>
    </row>
    <row r="54" spans="7:12" ht="12.75">
      <c r="G54" s="122" t="s">
        <v>23</v>
      </c>
      <c r="H54" s="137">
        <v>50</v>
      </c>
      <c r="I54" s="137">
        <v>220</v>
      </c>
      <c r="L54" s="60"/>
    </row>
    <row r="55" spans="7:12" ht="12.75">
      <c r="G55" s="122" t="s">
        <v>24</v>
      </c>
      <c r="H55" s="137">
        <v>200</v>
      </c>
      <c r="I55" s="137">
        <v>210</v>
      </c>
      <c r="L55" s="60"/>
    </row>
    <row r="56" spans="7:12" ht="12.75">
      <c r="G56" s="122"/>
      <c r="H56" t="s">
        <v>137</v>
      </c>
      <c r="I56" t="s">
        <v>138</v>
      </c>
      <c r="L56" s="60"/>
    </row>
    <row r="57" spans="7:12" ht="12.75">
      <c r="G57" s="122" t="s">
        <v>28</v>
      </c>
      <c r="H57" s="138">
        <v>0.019</v>
      </c>
      <c r="I57" s="139">
        <v>0.54</v>
      </c>
      <c r="L57" s="60"/>
    </row>
    <row r="58" spans="7:12" ht="12.75">
      <c r="G58" s="122" t="s">
        <v>29</v>
      </c>
      <c r="H58" s="138">
        <v>0.24</v>
      </c>
      <c r="I58" s="139">
        <v>1.5</v>
      </c>
      <c r="L58" s="60"/>
    </row>
    <row r="59" spans="7:12" ht="12.75">
      <c r="G59" s="122" t="s">
        <v>30</v>
      </c>
      <c r="H59" s="138">
        <v>0.085</v>
      </c>
      <c r="I59" s="139">
        <v>1.1</v>
      </c>
      <c r="L59" s="60"/>
    </row>
    <row r="60" spans="7:12" ht="12.75">
      <c r="G60" s="128" t="s">
        <v>31</v>
      </c>
      <c r="H60" s="138">
        <v>0.552</v>
      </c>
      <c r="I60" s="139">
        <v>3.16</v>
      </c>
      <c r="L60" s="60"/>
    </row>
    <row r="61" spans="7:12" ht="12.75">
      <c r="G61" s="122" t="s">
        <v>32</v>
      </c>
      <c r="H61" s="138">
        <v>0.6</v>
      </c>
      <c r="I61" s="139">
        <v>5.1</v>
      </c>
      <c r="L61" s="60"/>
    </row>
    <row r="62" spans="7:12" ht="12.75">
      <c r="G62" s="122" t="s">
        <v>33</v>
      </c>
      <c r="H62" s="138">
        <v>0.665</v>
      </c>
      <c r="I62" s="139">
        <v>2.6</v>
      </c>
      <c r="L62" s="60"/>
    </row>
    <row r="63" spans="7:12" ht="12.75">
      <c r="G63" s="122" t="s">
        <v>34</v>
      </c>
      <c r="H63" s="138">
        <v>0.261</v>
      </c>
      <c r="I63" s="139">
        <v>1.6</v>
      </c>
      <c r="L63" s="60"/>
    </row>
    <row r="64" spans="7:12" ht="12.75">
      <c r="G64" s="122" t="s">
        <v>35</v>
      </c>
      <c r="H64" s="138">
        <v>0.384</v>
      </c>
      <c r="I64" s="139">
        <v>2.8</v>
      </c>
      <c r="L64" s="60"/>
    </row>
    <row r="65" spans="7:12" ht="12.75">
      <c r="G65" s="122" t="s">
        <v>36</v>
      </c>
      <c r="H65" s="138">
        <v>0.8</v>
      </c>
      <c r="I65" s="139">
        <v>8</v>
      </c>
      <c r="L65" s="60"/>
    </row>
    <row r="66" spans="7:9" ht="12.75">
      <c r="G66" s="122" t="s">
        <v>37</v>
      </c>
      <c r="H66" s="138">
        <v>0.8</v>
      </c>
      <c r="I66" s="139">
        <v>8</v>
      </c>
    </row>
    <row r="67" spans="7:9" ht="12.75">
      <c r="G67" s="122" t="s">
        <v>38</v>
      </c>
      <c r="H67" s="138">
        <v>0.43</v>
      </c>
      <c r="I67" s="139">
        <v>1.6</v>
      </c>
    </row>
    <row r="68" spans="7:9" ht="12.75">
      <c r="G68" s="122" t="s">
        <v>39</v>
      </c>
      <c r="H68" s="138">
        <v>0.063</v>
      </c>
      <c r="I68" s="139">
        <v>0.26</v>
      </c>
    </row>
    <row r="69" spans="7:9" ht="12.75">
      <c r="G69" s="122" t="s">
        <v>40</v>
      </c>
      <c r="H69" s="138" t="s">
        <v>139</v>
      </c>
      <c r="I69" s="139" t="s">
        <v>139</v>
      </c>
    </row>
    <row r="70" spans="7:9" ht="12.75">
      <c r="G70" s="122" t="s">
        <v>41</v>
      </c>
      <c r="H70" s="138">
        <v>0.069</v>
      </c>
      <c r="I70" s="139">
        <v>5.2</v>
      </c>
    </row>
    <row r="71" spans="7:9" ht="12.75">
      <c r="G71" s="128" t="s">
        <v>42</v>
      </c>
      <c r="H71" s="138">
        <v>1.7</v>
      </c>
      <c r="I71" s="139">
        <v>9.6</v>
      </c>
    </row>
    <row r="72" spans="7:9" ht="12.75">
      <c r="G72" s="131" t="s">
        <v>43</v>
      </c>
      <c r="H72" s="138">
        <v>4</v>
      </c>
      <c r="I72" s="139">
        <v>45</v>
      </c>
    </row>
    <row r="73" ht="12.75">
      <c r="G73" s="122" t="s">
        <v>44</v>
      </c>
    </row>
  </sheetData>
  <mergeCells count="1">
    <mergeCell ref="B45:F45"/>
  </mergeCells>
  <printOptions/>
  <pageMargins left="0.75" right="0.75" top="1" bottom="1" header="0.5" footer="0.5"/>
  <pageSetup horizontalDpi="600" verticalDpi="600" orientation="portrait" paperSize="133" r:id="rId1"/>
</worksheet>
</file>

<file path=xl/worksheets/sheet26.xml><?xml version="1.0" encoding="utf-8"?>
<worksheet xmlns="http://schemas.openxmlformats.org/spreadsheetml/2006/main" xmlns:r="http://schemas.openxmlformats.org/officeDocument/2006/relationships">
  <dimension ref="B1:AQ47"/>
  <sheetViews>
    <sheetView workbookViewId="0" topLeftCell="A1">
      <selection activeCell="B3" sqref="B3:L28"/>
    </sheetView>
  </sheetViews>
  <sheetFormatPr defaultColWidth="9.140625" defaultRowHeight="12.75"/>
  <cols>
    <col min="3" max="3" width="28.7109375" style="0" bestFit="1" customWidth="1"/>
    <col min="14" max="14" width="34.140625" style="0" customWidth="1"/>
    <col min="16" max="16" width="33.57421875" style="0" customWidth="1"/>
  </cols>
  <sheetData>
    <row r="1" spans="2:15" ht="15.75">
      <c r="B1" s="107" t="s">
        <v>132</v>
      </c>
      <c r="O1" s="109" t="s">
        <v>125</v>
      </c>
    </row>
    <row r="2" spans="12:39" ht="13.5" thickBot="1">
      <c r="L2" s="60"/>
      <c r="N2" s="116" t="s">
        <v>84</v>
      </c>
      <c r="O2" s="110"/>
      <c r="P2" t="s">
        <v>84</v>
      </c>
      <c r="Q2" t="s">
        <v>45</v>
      </c>
      <c r="R2" t="s">
        <v>45</v>
      </c>
      <c r="S2" t="s">
        <v>45</v>
      </c>
      <c r="T2" t="s">
        <v>45</v>
      </c>
      <c r="U2" t="s">
        <v>45</v>
      </c>
      <c r="V2" t="s">
        <v>45</v>
      </c>
      <c r="W2" t="s">
        <v>45</v>
      </c>
      <c r="X2" t="s">
        <v>45</v>
      </c>
      <c r="Y2" t="s">
        <v>45</v>
      </c>
      <c r="Z2" t="s">
        <v>45</v>
      </c>
      <c r="AA2" t="s">
        <v>45</v>
      </c>
      <c r="AB2" t="s">
        <v>45</v>
      </c>
      <c r="AC2" t="s">
        <v>45</v>
      </c>
      <c r="AD2" t="s">
        <v>45</v>
      </c>
      <c r="AE2" t="s">
        <v>45</v>
      </c>
      <c r="AF2" t="s">
        <v>45</v>
      </c>
      <c r="AG2" t="s">
        <v>45</v>
      </c>
      <c r="AH2" t="s">
        <v>45</v>
      </c>
      <c r="AI2" t="s">
        <v>45</v>
      </c>
      <c r="AJ2" t="s">
        <v>45</v>
      </c>
      <c r="AK2" t="s">
        <v>45</v>
      </c>
      <c r="AL2" t="s">
        <v>45</v>
      </c>
      <c r="AM2" t="s">
        <v>45</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36831.40833333333</v>
      </c>
      <c r="R3" s="64">
        <v>36917.368055555555</v>
      </c>
      <c r="S3" s="64">
        <v>37011.39236111111</v>
      </c>
      <c r="T3" s="64">
        <v>37106.385416666664</v>
      </c>
      <c r="U3" s="64">
        <v>37221.395833333336</v>
      </c>
      <c r="V3" s="64">
        <v>37383.399305555555</v>
      </c>
      <c r="W3" s="64">
        <v>37474.385416666664</v>
      </c>
      <c r="X3" s="64">
        <v>37585.40625</v>
      </c>
      <c r="Y3" s="64">
        <v>37648.395833333336</v>
      </c>
      <c r="Z3" s="64">
        <v>37746.40972222222</v>
      </c>
      <c r="AA3" s="64">
        <v>37837.40277777778</v>
      </c>
      <c r="AB3" s="64">
        <v>37949.461805555555</v>
      </c>
      <c r="AC3" s="64">
        <v>38027.416666666664</v>
      </c>
      <c r="AD3" s="64">
        <v>38111.39236111111</v>
      </c>
      <c r="AE3" s="64">
        <v>38202.368055555555</v>
      </c>
      <c r="AF3" s="64">
        <v>38335.354166666664</v>
      </c>
      <c r="AG3" s="64">
        <v>38393.34722222222</v>
      </c>
      <c r="AH3" s="64">
        <v>38477.39444444444</v>
      </c>
      <c r="AI3" s="64">
        <v>38593.40625</v>
      </c>
      <c r="AJ3" s="64">
        <v>38680.416666666664</v>
      </c>
      <c r="AK3" s="64">
        <v>38776.39166666667</v>
      </c>
      <c r="AL3" s="64">
        <v>38869.36111111111</v>
      </c>
      <c r="AM3" s="64">
        <v>38960.39097222222</v>
      </c>
      <c r="AN3" s="64"/>
      <c r="AO3" s="64"/>
      <c r="AP3" s="64"/>
      <c r="AQ3" s="64"/>
    </row>
    <row r="4" spans="2:39" ht="12.75">
      <c r="B4" s="68" t="s">
        <v>103</v>
      </c>
      <c r="C4" s="93" t="s">
        <v>4</v>
      </c>
      <c r="D4" s="81">
        <f>COUNT(Q4:EC4)</f>
        <v>20</v>
      </c>
      <c r="E4" s="82">
        <f>AVERAGE(Q4:EC4)</f>
        <v>0.6243000000000001</v>
      </c>
      <c r="F4" s="82">
        <f aca="true" t="shared" si="0" ref="F4:F15">CONFIDENCE(0.05,G4,D4)</f>
        <v>0.3315012511652356</v>
      </c>
      <c r="G4" s="82">
        <f>STDEV(Q4:EC4)</f>
        <v>0.7564009727511907</v>
      </c>
      <c r="H4" s="82">
        <f>QUARTILE(Q4:EC4,2)</f>
        <v>0.255</v>
      </c>
      <c r="I4" s="82">
        <f>MIN(Q4:EC4)</f>
        <v>0.096</v>
      </c>
      <c r="J4" s="82">
        <f>MAX(Q4:EC4)</f>
        <v>3</v>
      </c>
      <c r="K4" s="82">
        <f>PERCENTILE(Q4:EC4,0.95)</f>
        <v>2.0500000000000007</v>
      </c>
      <c r="L4" s="102" t="str">
        <f>IF((H4+H5)&lt;0.08,"A",IF((H4+H5)&lt;0.12,"B",IF((H4+H5)&lt;0.295,"C",IF((H4+H5)&lt;0.444,"D","E"))))</f>
        <v>C</v>
      </c>
      <c r="N4" s="116" t="s">
        <v>86</v>
      </c>
      <c r="O4" s="108"/>
      <c r="P4" t="s">
        <v>86</v>
      </c>
      <c r="R4">
        <v>0.23</v>
      </c>
      <c r="S4">
        <v>0.1</v>
      </c>
      <c r="V4">
        <v>0.23</v>
      </c>
      <c r="W4">
        <v>0.68</v>
      </c>
      <c r="X4">
        <v>0.23</v>
      </c>
      <c r="Y4">
        <v>0.15</v>
      </c>
      <c r="Z4">
        <v>0.15</v>
      </c>
      <c r="AA4">
        <v>0.35</v>
      </c>
      <c r="AB4">
        <v>0.55</v>
      </c>
      <c r="AC4">
        <v>0.2</v>
      </c>
      <c r="AD4">
        <v>0.56</v>
      </c>
      <c r="AE4">
        <v>1.3</v>
      </c>
      <c r="AF4">
        <v>0.25</v>
      </c>
      <c r="AG4">
        <v>0.096</v>
      </c>
      <c r="AH4">
        <v>0.26</v>
      </c>
      <c r="AI4">
        <v>2</v>
      </c>
      <c r="AJ4">
        <v>0.11</v>
      </c>
      <c r="AK4">
        <v>0.64</v>
      </c>
      <c r="AL4">
        <v>3</v>
      </c>
      <c r="AM4">
        <v>1.4</v>
      </c>
    </row>
    <row r="5" spans="2:39" ht="12.75">
      <c r="B5" s="69"/>
      <c r="C5" s="5" t="s">
        <v>5</v>
      </c>
      <c r="D5" s="73">
        <f>COUNT(Q5:EC5)</f>
        <v>18</v>
      </c>
      <c r="E5" s="112">
        <f>AVERAGE(Q5:EC5)</f>
        <v>0.013166666666666669</v>
      </c>
      <c r="F5" s="112">
        <f t="shared" si="0"/>
        <v>0.0024355008428418915</v>
      </c>
      <c r="G5" s="112">
        <f>STDEV(Q5:EC5)</f>
        <v>0.005272012675161049</v>
      </c>
      <c r="H5" s="112">
        <f>QUARTILE(Q5:EC5,2)</f>
        <v>0.013</v>
      </c>
      <c r="I5" s="112">
        <f>MIN(Q5:EC5)</f>
        <v>0.005</v>
      </c>
      <c r="J5" s="112">
        <f>MAX(Q5:EC5)</f>
        <v>0.022</v>
      </c>
      <c r="K5" s="112">
        <f>PERCENTILE(Q5:EC5,0.95)</f>
        <v>0.0203</v>
      </c>
      <c r="L5" s="102"/>
      <c r="N5" s="116" t="s">
        <v>87</v>
      </c>
      <c r="O5" s="108"/>
      <c r="P5" t="s">
        <v>87</v>
      </c>
      <c r="V5">
        <v>0.017</v>
      </c>
      <c r="W5">
        <v>0.013</v>
      </c>
      <c r="X5">
        <v>0.012</v>
      </c>
      <c r="Y5">
        <v>0.013</v>
      </c>
      <c r="Z5">
        <v>0.018</v>
      </c>
      <c r="AA5">
        <v>0.018</v>
      </c>
      <c r="AB5">
        <v>0.013</v>
      </c>
      <c r="AC5">
        <v>0.022</v>
      </c>
      <c r="AD5">
        <v>0.008</v>
      </c>
      <c r="AE5">
        <v>0.007</v>
      </c>
      <c r="AF5">
        <v>0.016</v>
      </c>
      <c r="AG5">
        <v>0.008</v>
      </c>
      <c r="AH5">
        <v>0.005</v>
      </c>
      <c r="AI5">
        <v>0.009</v>
      </c>
      <c r="AJ5">
        <v>0.005</v>
      </c>
      <c r="AK5">
        <v>0.02</v>
      </c>
      <c r="AL5">
        <v>0.019</v>
      </c>
      <c r="AM5">
        <v>0.014</v>
      </c>
    </row>
    <row r="6" spans="2:39" ht="12.75">
      <c r="B6" s="70"/>
      <c r="C6" s="94" t="s">
        <v>6</v>
      </c>
      <c r="D6" s="73">
        <f>COUNT(Q6:EC6)</f>
        <v>23</v>
      </c>
      <c r="E6" s="112">
        <f>AVERAGE(Q6:EC6)</f>
        <v>0.015913043478260877</v>
      </c>
      <c r="F6" s="112">
        <f t="shared" si="0"/>
        <v>0.0017203162110954182</v>
      </c>
      <c r="G6" s="112">
        <f>STDEV(Q6:EC6)</f>
        <v>0.004209437918408189</v>
      </c>
      <c r="H6" s="112">
        <f>QUARTILE(Q6:EC6,2)</f>
        <v>0.015</v>
      </c>
      <c r="I6" s="112">
        <f>MIN(Q6:EC6)</f>
        <v>0.01</v>
      </c>
      <c r="J6" s="112">
        <f>MAX(Q6:EC6)</f>
        <v>0.023</v>
      </c>
      <c r="K6" s="112">
        <f>PERCENTILE(Q6:EC6,0.95)</f>
        <v>0.022</v>
      </c>
      <c r="L6" s="102" t="str">
        <f>IF((H6)&lt;0.005,"A",IF((H6)&lt;0.008,"B",IF((H6)&lt;0.026,"C",IF((H6)&lt;0.05,"D","E"))))</f>
        <v>C</v>
      </c>
      <c r="N6" s="116" t="s">
        <v>88</v>
      </c>
      <c r="O6" s="108"/>
      <c r="P6" t="s">
        <v>88</v>
      </c>
      <c r="Q6">
        <v>0.011</v>
      </c>
      <c r="R6">
        <v>0.015</v>
      </c>
      <c r="S6">
        <v>0.012</v>
      </c>
      <c r="T6">
        <v>0.023</v>
      </c>
      <c r="U6">
        <v>0.021</v>
      </c>
      <c r="V6">
        <v>0.022</v>
      </c>
      <c r="W6">
        <v>0.015</v>
      </c>
      <c r="X6">
        <v>0.01</v>
      </c>
      <c r="Y6">
        <v>0.015</v>
      </c>
      <c r="Z6">
        <v>0.017</v>
      </c>
      <c r="AA6">
        <v>0.016</v>
      </c>
      <c r="AB6">
        <v>0.014</v>
      </c>
      <c r="AC6">
        <v>0.013</v>
      </c>
      <c r="AD6">
        <v>0.022</v>
      </c>
      <c r="AE6">
        <v>0.015</v>
      </c>
      <c r="AF6">
        <v>0.01</v>
      </c>
      <c r="AG6">
        <v>0.01</v>
      </c>
      <c r="AH6">
        <v>0.016</v>
      </c>
      <c r="AI6">
        <v>0.019</v>
      </c>
      <c r="AJ6">
        <v>0.022</v>
      </c>
      <c r="AK6">
        <v>0.016</v>
      </c>
      <c r="AL6">
        <v>0.02</v>
      </c>
      <c r="AM6">
        <v>0.012</v>
      </c>
    </row>
    <row r="7" spans="2:39" ht="12.75">
      <c r="B7" s="71" t="s">
        <v>104</v>
      </c>
      <c r="C7" s="6" t="s">
        <v>7</v>
      </c>
      <c r="D7" s="86">
        <f>COUNT(Q7:EC7)</f>
        <v>23</v>
      </c>
      <c r="E7" s="113">
        <f>AVERAGE(Q7:EC7)</f>
        <v>7.196086956521738</v>
      </c>
      <c r="F7" s="113">
        <f t="shared" si="0"/>
        <v>0.20360617265246295</v>
      </c>
      <c r="G7" s="113">
        <f>STDEV(Q7:EC7)</f>
        <v>0.4982034919263481</v>
      </c>
      <c r="H7" s="113">
        <f>QUARTILE(Q7:EC7,2)</f>
        <v>7.25</v>
      </c>
      <c r="I7" s="113">
        <f>MIN(Q7:EC7)</f>
        <v>6.08</v>
      </c>
      <c r="J7" s="113">
        <f>MAX(Q7:EC7)</f>
        <v>7.97</v>
      </c>
      <c r="K7" s="113">
        <f>PERCENTILE(Q7:EC7,0.95)</f>
        <v>7.8839999999999995</v>
      </c>
      <c r="L7" s="103" t="str">
        <f>IF(AND(7.2&lt;H7,H7&lt;9),"A",IF(AND(7.2&lt;=H7,H7&lt;=9),"B",IF(AND(6.5&lt;=H7,H7&lt;=9),"C",IF(AND(6.5&lt;=H7,H7&lt;=10),"D","E"))))</f>
        <v>A</v>
      </c>
      <c r="N7" s="116" t="s">
        <v>89</v>
      </c>
      <c r="O7" s="108"/>
      <c r="P7" t="s">
        <v>89</v>
      </c>
      <c r="Q7">
        <v>7.97</v>
      </c>
      <c r="R7">
        <v>6.69</v>
      </c>
      <c r="S7">
        <v>7.27</v>
      </c>
      <c r="T7">
        <v>7.39</v>
      </c>
      <c r="U7">
        <v>7.36</v>
      </c>
      <c r="V7">
        <v>6.65</v>
      </c>
      <c r="W7">
        <v>7.63</v>
      </c>
      <c r="X7">
        <v>7.6</v>
      </c>
      <c r="Y7">
        <v>7.25</v>
      </c>
      <c r="Z7">
        <v>7.63</v>
      </c>
      <c r="AA7">
        <v>7.48</v>
      </c>
      <c r="AB7">
        <v>7.83</v>
      </c>
      <c r="AC7">
        <v>7.09</v>
      </c>
      <c r="AD7">
        <v>6.99</v>
      </c>
      <c r="AE7">
        <v>6.9</v>
      </c>
      <c r="AF7">
        <v>6.5</v>
      </c>
      <c r="AG7">
        <v>7.2</v>
      </c>
      <c r="AH7">
        <v>6.42</v>
      </c>
      <c r="AI7">
        <v>7.6</v>
      </c>
      <c r="AJ7">
        <v>6.89</v>
      </c>
      <c r="AK7">
        <v>6.08</v>
      </c>
      <c r="AL7">
        <v>7.2</v>
      </c>
      <c r="AM7">
        <v>7.89</v>
      </c>
    </row>
    <row r="8" spans="2:39" ht="12.75">
      <c r="B8" s="71"/>
      <c r="C8" s="6" t="s">
        <v>8</v>
      </c>
      <c r="D8" s="81">
        <f>COUNT(Q8:EC8)</f>
        <v>23</v>
      </c>
      <c r="E8" s="44">
        <f>AVERAGE(Q8:EC8)</f>
        <v>12.616521739130436</v>
      </c>
      <c r="F8" s="44">
        <f t="shared" si="0"/>
        <v>1.6145520862542662</v>
      </c>
      <c r="G8" s="44">
        <f>STDEV(Q8:EC8)</f>
        <v>3.9506439160950237</v>
      </c>
      <c r="H8" s="44">
        <f>QUARTILE(Q8:EC8,2)</f>
        <v>13.15</v>
      </c>
      <c r="I8" s="44">
        <f>MIN(Q8:EC8)</f>
        <v>6.2</v>
      </c>
      <c r="J8" s="44">
        <f>MAX(Q8:EC8)</f>
        <v>19.1</v>
      </c>
      <c r="K8" s="44">
        <f>PERCENTILE(Q8:EC8,0.95)</f>
        <v>17.849999999999998</v>
      </c>
      <c r="L8" s="102" t="str">
        <f>IF(H8&lt;18,"A",IF(H8&lt;20,"B",IF(H8&lt;22,"C",IF(H8&lt;25,"D","E"))))</f>
        <v>A</v>
      </c>
      <c r="N8" s="116" t="s">
        <v>90</v>
      </c>
      <c r="O8" s="108"/>
      <c r="P8" t="s">
        <v>90</v>
      </c>
      <c r="Q8">
        <v>14.5</v>
      </c>
      <c r="R8">
        <v>17.1</v>
      </c>
      <c r="S8">
        <v>14.4</v>
      </c>
      <c r="T8">
        <v>6.3</v>
      </c>
      <c r="U8">
        <v>13.15</v>
      </c>
      <c r="V8">
        <v>11.54</v>
      </c>
      <c r="W8">
        <v>7.3</v>
      </c>
      <c r="X8">
        <v>14.3</v>
      </c>
      <c r="Y8">
        <v>17.2</v>
      </c>
      <c r="Z8">
        <v>11.5</v>
      </c>
      <c r="AA8">
        <v>7.9</v>
      </c>
      <c r="AB8">
        <v>17.4</v>
      </c>
      <c r="AC8">
        <v>17.9</v>
      </c>
      <c r="AD8">
        <v>11.9</v>
      </c>
      <c r="AE8">
        <v>6.2</v>
      </c>
      <c r="AF8">
        <v>13.4</v>
      </c>
      <c r="AG8">
        <v>19.1</v>
      </c>
      <c r="AH8">
        <v>11</v>
      </c>
      <c r="AI8">
        <v>9.37</v>
      </c>
      <c r="AJ8">
        <v>15.16</v>
      </c>
      <c r="AK8">
        <v>16.25</v>
      </c>
      <c r="AL8">
        <v>9.01</v>
      </c>
      <c r="AM8">
        <v>8.3</v>
      </c>
    </row>
    <row r="9" spans="2:39" ht="12.75">
      <c r="B9" s="71"/>
      <c r="C9" s="7" t="s">
        <v>9</v>
      </c>
      <c r="D9" s="81">
        <f>COUNT(Q9:EC9)</f>
        <v>23</v>
      </c>
      <c r="E9" s="44">
        <f>AVERAGE(Q9:EC9)</f>
        <v>104.61304347826085</v>
      </c>
      <c r="F9" s="44">
        <f t="shared" si="0"/>
        <v>9.604734961068816</v>
      </c>
      <c r="G9" s="44">
        <f>STDEV(Q9:EC9)</f>
        <v>23.50180465697034</v>
      </c>
      <c r="H9" s="44">
        <f>QUARTILE(Q9:EC9,2)</f>
        <v>103</v>
      </c>
      <c r="I9" s="44">
        <f>MIN(Q9:EC9)</f>
        <v>58.5</v>
      </c>
      <c r="J9" s="44">
        <f>MAX(Q9:EC9)</f>
        <v>180.6</v>
      </c>
      <c r="K9" s="44">
        <f>PERCENTILE(Q9:EC9,0.95)</f>
        <v>126.19999999999999</v>
      </c>
      <c r="L9" s="104" t="str">
        <f>IF(AND(99&lt;=H9,H9&lt;=103),"A",IF(AND(98&lt;=H9,H9&lt;=105),"B",IF(H9&gt;90,"C",IF(H9&gt;80,"D","E"))))</f>
        <v>A</v>
      </c>
      <c r="N9" s="116" t="s">
        <v>91</v>
      </c>
      <c r="O9" s="108"/>
      <c r="P9" t="s">
        <v>91</v>
      </c>
      <c r="Q9">
        <v>92.7</v>
      </c>
      <c r="R9">
        <v>65.6</v>
      </c>
      <c r="S9">
        <v>58.5</v>
      </c>
      <c r="T9">
        <v>110.9</v>
      </c>
      <c r="U9">
        <v>104.7</v>
      </c>
      <c r="V9">
        <v>114.1</v>
      </c>
      <c r="W9">
        <v>113.3</v>
      </c>
      <c r="X9">
        <v>122.6</v>
      </c>
      <c r="Y9">
        <v>98.7</v>
      </c>
      <c r="Z9">
        <v>97</v>
      </c>
      <c r="AA9">
        <v>122</v>
      </c>
      <c r="AB9">
        <v>126.6</v>
      </c>
      <c r="AC9">
        <v>103.4</v>
      </c>
      <c r="AD9">
        <v>94.2</v>
      </c>
      <c r="AE9">
        <v>97.3</v>
      </c>
      <c r="AF9">
        <v>103</v>
      </c>
      <c r="AG9">
        <v>98</v>
      </c>
      <c r="AH9">
        <v>180.6</v>
      </c>
      <c r="AI9">
        <v>114.7</v>
      </c>
      <c r="AJ9">
        <v>85.9</v>
      </c>
      <c r="AK9">
        <v>88.7</v>
      </c>
      <c r="AL9">
        <v>95.5</v>
      </c>
      <c r="AM9">
        <v>118.1</v>
      </c>
    </row>
    <row r="10" spans="2:39" ht="12.75">
      <c r="B10" s="71"/>
      <c r="C10" s="6" t="s">
        <v>10</v>
      </c>
      <c r="D10" s="81">
        <f>COUNT(Q10:EC10)</f>
        <v>23</v>
      </c>
      <c r="E10" s="44">
        <f>AVERAGE(Q10:EC10)</f>
        <v>10.895652173913042</v>
      </c>
      <c r="F10" s="44">
        <f t="shared" si="0"/>
        <v>0.9515201438586841</v>
      </c>
      <c r="G10" s="44">
        <f>STDEV(Q10:EC10)</f>
        <v>2.328272527954339</v>
      </c>
      <c r="H10" s="44">
        <f>QUARTILE(Q10:EC10,2)</f>
        <v>11</v>
      </c>
      <c r="I10" s="44">
        <f>MIN(Q10:EC10)</f>
        <v>5.68</v>
      </c>
      <c r="J10" s="44">
        <f>MAX(Q10:EC10)</f>
        <v>14.49</v>
      </c>
      <c r="K10" s="44">
        <f>PERCENTILE(Q10:EC10,0.95)</f>
        <v>13.849</v>
      </c>
      <c r="L10" s="102"/>
      <c r="N10" s="116" t="s">
        <v>92</v>
      </c>
      <c r="O10" s="108"/>
      <c r="P10" t="s">
        <v>92</v>
      </c>
      <c r="Q10">
        <v>9.43</v>
      </c>
      <c r="R10">
        <v>6.31</v>
      </c>
      <c r="S10">
        <v>5.68</v>
      </c>
      <c r="T10">
        <v>13.75</v>
      </c>
      <c r="U10">
        <v>11</v>
      </c>
      <c r="V10">
        <v>12.41</v>
      </c>
      <c r="W10">
        <v>13.66</v>
      </c>
      <c r="X10">
        <v>12.56</v>
      </c>
      <c r="Y10">
        <v>9.5</v>
      </c>
      <c r="Z10">
        <v>10.58</v>
      </c>
      <c r="AA10">
        <v>14.49</v>
      </c>
      <c r="AB10">
        <v>12.12</v>
      </c>
      <c r="AC10">
        <v>9.8</v>
      </c>
      <c r="AD10">
        <v>10.17</v>
      </c>
      <c r="AE10">
        <v>12.06</v>
      </c>
      <c r="AF10">
        <v>10.76</v>
      </c>
      <c r="AG10">
        <v>9.07</v>
      </c>
      <c r="AH10">
        <v>11.94</v>
      </c>
      <c r="AI10">
        <v>13.14</v>
      </c>
      <c r="AJ10">
        <v>8.58</v>
      </c>
      <c r="AK10">
        <v>8.7</v>
      </c>
      <c r="AL10">
        <v>11.03</v>
      </c>
      <c r="AM10">
        <v>13.86</v>
      </c>
    </row>
    <row r="11" spans="2:39" ht="12.75">
      <c r="B11" s="72"/>
      <c r="C11" s="95" t="s">
        <v>11</v>
      </c>
      <c r="D11" s="87">
        <f>COUNT(Q11:EC11)</f>
        <v>23</v>
      </c>
      <c r="E11" s="115">
        <f>AVERAGE(Q11:EC11)</f>
        <v>188.99565217391302</v>
      </c>
      <c r="F11" s="115">
        <f t="shared" si="0"/>
        <v>11.703740249194635</v>
      </c>
      <c r="G11" s="115">
        <f>STDEV(Q11:EC11)</f>
        <v>28.637856037402315</v>
      </c>
      <c r="H11" s="115">
        <f>QUARTILE(Q11:EC11,2)</f>
        <v>189</v>
      </c>
      <c r="I11" s="115">
        <f>MIN(Q11:EC11)</f>
        <v>140.4</v>
      </c>
      <c r="J11" s="115">
        <f>MAX(Q11:EC11)</f>
        <v>251.7</v>
      </c>
      <c r="K11" s="115">
        <f>PERCENTILE(Q11:EC11,0.95)</f>
        <v>237.89999999999998</v>
      </c>
      <c r="L11" s="105"/>
      <c r="N11" s="116" t="s">
        <v>93</v>
      </c>
      <c r="O11" s="108"/>
      <c r="P11" t="s">
        <v>93</v>
      </c>
      <c r="Q11">
        <v>140.4</v>
      </c>
      <c r="R11">
        <v>164.5</v>
      </c>
      <c r="S11">
        <v>251.7</v>
      </c>
      <c r="T11">
        <v>201.3</v>
      </c>
      <c r="U11">
        <v>151</v>
      </c>
      <c r="V11">
        <v>194</v>
      </c>
      <c r="W11">
        <v>177</v>
      </c>
      <c r="X11">
        <v>185</v>
      </c>
      <c r="Y11">
        <v>228</v>
      </c>
      <c r="Z11">
        <v>213</v>
      </c>
      <c r="AA11">
        <v>170</v>
      </c>
      <c r="AB11">
        <v>181</v>
      </c>
      <c r="AC11">
        <v>198</v>
      </c>
      <c r="AD11">
        <v>159</v>
      </c>
      <c r="AE11">
        <v>160</v>
      </c>
      <c r="AF11">
        <v>189</v>
      </c>
      <c r="AG11">
        <v>202</v>
      </c>
      <c r="AH11">
        <v>206</v>
      </c>
      <c r="AI11">
        <v>185</v>
      </c>
      <c r="AJ11">
        <v>148</v>
      </c>
      <c r="AK11">
        <v>239</v>
      </c>
      <c r="AL11">
        <v>206</v>
      </c>
      <c r="AM11">
        <v>198</v>
      </c>
    </row>
    <row r="12" spans="2:39" ht="12.75">
      <c r="B12" s="68" t="s">
        <v>105</v>
      </c>
      <c r="C12" s="4" t="s">
        <v>12</v>
      </c>
      <c r="D12" s="81">
        <f>COUNT(Q12:EC12)</f>
        <v>23</v>
      </c>
      <c r="E12" s="82">
        <f>AVERAGE(Q12:EC12)</f>
        <v>4.259565217391304</v>
      </c>
      <c r="F12" s="82">
        <f t="shared" si="0"/>
        <v>2.117257591616789</v>
      </c>
      <c r="G12" s="82">
        <f>STDEV(Q12:EC12)</f>
        <v>5.180712901330078</v>
      </c>
      <c r="H12" s="82">
        <f>QUARTILE(Q12:EC12,2)</f>
        <v>2.64</v>
      </c>
      <c r="I12" s="82">
        <f>MIN(Q12:EC12)</f>
        <v>0.89</v>
      </c>
      <c r="J12" s="82">
        <f>MAX(Q12:EC12)</f>
        <v>26.2</v>
      </c>
      <c r="K12" s="82">
        <f>PERCENTILE(Q12:EC12,0.95)</f>
        <v>8.789999999999996</v>
      </c>
      <c r="L12" s="102" t="str">
        <f>IF(H12&lt;1,"A",IF(H12&lt;2,"B",IF(H12&lt;3,"C",IF(H12&lt;5,"D","E"))))</f>
        <v>C</v>
      </c>
      <c r="N12" s="116" t="s">
        <v>94</v>
      </c>
      <c r="O12" s="108"/>
      <c r="P12" t="s">
        <v>94</v>
      </c>
      <c r="Q12">
        <v>3.98</v>
      </c>
      <c r="R12">
        <v>2.3</v>
      </c>
      <c r="S12">
        <v>0.98</v>
      </c>
      <c r="T12">
        <v>5.91</v>
      </c>
      <c r="U12">
        <v>4.99</v>
      </c>
      <c r="V12">
        <v>2</v>
      </c>
      <c r="W12">
        <v>3.04</v>
      </c>
      <c r="X12">
        <v>2.35</v>
      </c>
      <c r="Y12">
        <v>1.05</v>
      </c>
      <c r="Z12">
        <v>0.89</v>
      </c>
      <c r="AA12">
        <v>1.3</v>
      </c>
      <c r="AB12">
        <v>2.12</v>
      </c>
      <c r="AC12">
        <v>6</v>
      </c>
      <c r="AD12">
        <v>26.2</v>
      </c>
      <c r="AE12">
        <v>4.97</v>
      </c>
      <c r="AF12">
        <v>2.64</v>
      </c>
      <c r="AG12">
        <v>2.33</v>
      </c>
      <c r="AH12">
        <v>2.03</v>
      </c>
      <c r="AI12">
        <v>4.01</v>
      </c>
      <c r="AJ12">
        <v>9.1</v>
      </c>
      <c r="AK12">
        <v>1.82</v>
      </c>
      <c r="AL12">
        <v>4.84</v>
      </c>
      <c r="AM12">
        <v>3.12</v>
      </c>
    </row>
    <row r="13" spans="2:39" ht="12.75">
      <c r="B13" s="71"/>
      <c r="C13" s="6" t="s">
        <v>13</v>
      </c>
      <c r="D13" s="81">
        <f>COUNT(Q13:EC13)</f>
        <v>21</v>
      </c>
      <c r="E13" s="44">
        <f>AVERAGE(Q13:EC13)</f>
        <v>1.6880952380952379</v>
      </c>
      <c r="F13" s="44">
        <f t="shared" si="0"/>
        <v>0.3561032397213558</v>
      </c>
      <c r="G13" s="44">
        <f>STDEV(Q13:EC13)</f>
        <v>0.8326020600960533</v>
      </c>
      <c r="H13" s="44">
        <f>QUARTILE(Q13:EC13,2)</f>
        <v>1.7</v>
      </c>
      <c r="I13" s="44">
        <f>MIN(Q13:EC13)</f>
        <v>0.25</v>
      </c>
      <c r="J13" s="44">
        <f>MAX(Q13:EC13)</f>
        <v>3.2</v>
      </c>
      <c r="K13" s="44">
        <f>PERCENTILE(Q13:EC13,0.95)</f>
        <v>2.7</v>
      </c>
      <c r="L13" s="102" t="str">
        <f>IF(H13&gt;6,"A",IF(H13&gt;4,"B",IF(H13&gt;2.5,"C",IF(H13&gt;0.6,"D","E"))))</f>
        <v>D</v>
      </c>
      <c r="N13" s="116" t="s">
        <v>13</v>
      </c>
      <c r="O13" s="108"/>
      <c r="P13" t="s">
        <v>13</v>
      </c>
      <c r="Q13">
        <v>1.2</v>
      </c>
      <c r="R13">
        <v>2.5</v>
      </c>
      <c r="S13">
        <v>1.3</v>
      </c>
      <c r="T13">
        <v>1.7</v>
      </c>
      <c r="U13">
        <v>1.5</v>
      </c>
      <c r="V13">
        <v>2.7</v>
      </c>
      <c r="W13">
        <v>1.8</v>
      </c>
      <c r="X13">
        <v>2.6</v>
      </c>
      <c r="AA13">
        <v>2.6</v>
      </c>
      <c r="AB13">
        <v>2.35</v>
      </c>
      <c r="AC13">
        <v>0.6</v>
      </c>
      <c r="AD13">
        <v>0.25</v>
      </c>
      <c r="AE13">
        <v>0.7</v>
      </c>
      <c r="AF13">
        <v>1</v>
      </c>
      <c r="AG13">
        <v>1.9</v>
      </c>
      <c r="AH13">
        <v>3.2</v>
      </c>
      <c r="AI13">
        <v>1.5</v>
      </c>
      <c r="AJ13">
        <v>0.65</v>
      </c>
      <c r="AK13">
        <v>2.6</v>
      </c>
      <c r="AL13">
        <v>0.9</v>
      </c>
      <c r="AM13">
        <v>1.9</v>
      </c>
    </row>
    <row r="14" spans="2:39" ht="12.75">
      <c r="B14" s="72"/>
      <c r="C14" s="95" t="s">
        <v>14</v>
      </c>
      <c r="D14" s="87">
        <f>COUNT(Q14:EC14)</f>
        <v>23</v>
      </c>
      <c r="E14" s="115">
        <f>AVERAGE(Q14:EC14)</f>
        <v>3.739130434782609</v>
      </c>
      <c r="F14" s="115">
        <f t="shared" si="0"/>
        <v>1.5499401919014635</v>
      </c>
      <c r="G14" s="115">
        <f>STDEV(Q14:EC14)</f>
        <v>3.7925452152197425</v>
      </c>
      <c r="H14" s="115">
        <f>QUARTILE(Q14:EC14,2)</f>
        <v>3</v>
      </c>
      <c r="I14" s="115">
        <f>MIN(Q14:EC14)</f>
        <v>1</v>
      </c>
      <c r="J14" s="115">
        <f>MAX(Q14:EC14)</f>
        <v>16</v>
      </c>
      <c r="K14" s="115">
        <f>PERCENTILE(Q14:EC14,0.95)</f>
        <v>13.099999999999987</v>
      </c>
      <c r="L14" s="102"/>
      <c r="N14" s="116" t="s">
        <v>95</v>
      </c>
      <c r="O14" s="108"/>
      <c r="P14" t="s">
        <v>95</v>
      </c>
      <c r="Q14">
        <v>3</v>
      </c>
      <c r="R14">
        <v>3</v>
      </c>
      <c r="S14">
        <v>1</v>
      </c>
      <c r="T14">
        <v>4</v>
      </c>
      <c r="U14">
        <v>5</v>
      </c>
      <c r="V14">
        <v>1</v>
      </c>
      <c r="W14">
        <v>2</v>
      </c>
      <c r="X14">
        <v>4</v>
      </c>
      <c r="Y14">
        <v>1</v>
      </c>
      <c r="Z14">
        <v>1</v>
      </c>
      <c r="AA14">
        <v>2</v>
      </c>
      <c r="AB14">
        <v>2</v>
      </c>
      <c r="AC14">
        <v>14</v>
      </c>
      <c r="AD14">
        <v>16</v>
      </c>
      <c r="AE14">
        <v>3</v>
      </c>
      <c r="AF14">
        <v>5</v>
      </c>
      <c r="AG14">
        <v>3</v>
      </c>
      <c r="AH14">
        <v>1</v>
      </c>
      <c r="AI14">
        <v>3</v>
      </c>
      <c r="AJ14">
        <v>5</v>
      </c>
      <c r="AK14">
        <v>2</v>
      </c>
      <c r="AL14">
        <v>2</v>
      </c>
      <c r="AM14">
        <v>3</v>
      </c>
    </row>
    <row r="15" spans="2:39" ht="12.75">
      <c r="B15" s="208" t="s">
        <v>267</v>
      </c>
      <c r="C15" s="8" t="s">
        <v>268</v>
      </c>
      <c r="D15" s="81">
        <f>COUNT(Q15:EC15)</f>
        <v>23</v>
      </c>
      <c r="E15" s="40">
        <f>AVERAGE(Q15:EC15)</f>
        <v>830.4347826086956</v>
      </c>
      <c r="F15" s="40">
        <f t="shared" si="0"/>
        <v>414.5435098316343</v>
      </c>
      <c r="G15" s="40">
        <f>STDEV(Q15:EC15)</f>
        <v>1014.345594060389</v>
      </c>
      <c r="H15" s="40">
        <f>QUARTILE(Q15:EC15,2)</f>
        <v>350</v>
      </c>
      <c r="I15" s="40">
        <f>MIN(Q15:EC15)</f>
        <v>45</v>
      </c>
      <c r="J15" s="40">
        <f>MAX(Q15:EC15)</f>
        <v>3500</v>
      </c>
      <c r="K15" s="40">
        <f>PERCENTILE(Q15:EC15,0.95)</f>
        <v>2849.999999999999</v>
      </c>
      <c r="L15" s="106" t="str">
        <f>IF(H15&lt;10,"A",IF(H15&lt;130,"B",IF(H15&lt;260,"C",IF(H15&lt;550,"D","E"))))</f>
        <v>D</v>
      </c>
      <c r="N15" s="116" t="s">
        <v>255</v>
      </c>
      <c r="O15" s="108"/>
      <c r="P15" t="s">
        <v>255</v>
      </c>
      <c r="Q15">
        <v>430</v>
      </c>
      <c r="R15">
        <v>1600</v>
      </c>
      <c r="S15">
        <v>180</v>
      </c>
      <c r="T15">
        <v>45</v>
      </c>
      <c r="U15">
        <v>800</v>
      </c>
      <c r="V15">
        <v>150</v>
      </c>
      <c r="W15">
        <v>350</v>
      </c>
      <c r="X15">
        <v>368</v>
      </c>
      <c r="Y15">
        <v>267</v>
      </c>
      <c r="Z15">
        <v>250</v>
      </c>
      <c r="AA15">
        <v>85</v>
      </c>
      <c r="AB15">
        <v>140</v>
      </c>
      <c r="AC15">
        <v>2900</v>
      </c>
      <c r="AD15">
        <v>3500</v>
      </c>
      <c r="AE15">
        <v>480</v>
      </c>
      <c r="AF15">
        <v>2200</v>
      </c>
      <c r="AG15">
        <v>240</v>
      </c>
      <c r="AH15">
        <v>65</v>
      </c>
      <c r="AI15">
        <v>1600</v>
      </c>
      <c r="AJ15">
        <v>2400</v>
      </c>
      <c r="AK15">
        <v>115</v>
      </c>
      <c r="AL15">
        <v>275</v>
      </c>
      <c r="AM15">
        <v>660</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79.16666666666667</v>
      </c>
      <c r="F17" s="44">
        <f>CONFIDENCE(0.05,G17,D17)</f>
        <v>10.363949870304596</v>
      </c>
      <c r="G17" s="44">
        <f>STDEV(Q17:EC17)</f>
        <v>12.952477240538474</v>
      </c>
      <c r="H17" s="44">
        <f>QUARTILE(Q17:EC17,2)</f>
        <v>81.5</v>
      </c>
      <c r="I17" s="44">
        <f>MIN(Q17:EC17)</f>
        <v>63</v>
      </c>
      <c r="J17" s="44">
        <f>MAX(Q17:EC17)</f>
        <v>93</v>
      </c>
      <c r="K17" s="44">
        <f>PERCENTILE(Q17:EC17,0.95)</f>
        <v>92.25</v>
      </c>
      <c r="L17" s="102" t="str">
        <f>IF(H17&gt;120,"A",IF(H17&gt;100,"B",IF(H17&gt;80,"C",IF(H17&gt;60,"D","E"))))</f>
        <v>C</v>
      </c>
      <c r="N17" s="116" t="s">
        <v>17</v>
      </c>
      <c r="O17" s="108"/>
      <c r="P17" t="s">
        <v>17</v>
      </c>
      <c r="Q17">
        <v>90</v>
      </c>
      <c r="U17">
        <v>93</v>
      </c>
      <c r="X17">
        <v>75</v>
      </c>
      <c r="AB17">
        <v>63</v>
      </c>
      <c r="AF17">
        <v>88</v>
      </c>
      <c r="AJ17">
        <v>66</v>
      </c>
    </row>
    <row r="18" spans="2:36" ht="12.75">
      <c r="B18" s="74"/>
      <c r="C18" s="96" t="s">
        <v>18</v>
      </c>
      <c r="D18" s="81">
        <f>COUNT(Q18:EC18)</f>
        <v>6</v>
      </c>
      <c r="E18" s="44">
        <f>AVERAGE(Q18:EC18)</f>
        <v>3.3104999999999998</v>
      </c>
      <c r="F18" s="44">
        <f>CONFIDENCE(0.05,G18,D18)</f>
        <v>0.4708005249771465</v>
      </c>
      <c r="G18" s="44">
        <f>STDEV(Q18:EC18)</f>
        <v>0.5883889020027492</v>
      </c>
      <c r="H18" s="44">
        <f>QUARTILE(Q18:EC18,2)</f>
        <v>3.0665</v>
      </c>
      <c r="I18" s="44">
        <f>MIN(Q18:EC18)</f>
        <v>2.72</v>
      </c>
      <c r="J18" s="44">
        <f>MAX(Q18:EC18)</f>
        <v>4.33</v>
      </c>
      <c r="K18" s="44">
        <f>PERCENTILE(Q18:EC18,0.95)</f>
        <v>4.165</v>
      </c>
      <c r="L18" s="105" t="str">
        <f>IF(H18&gt;6,"A",IF(H18&gt;5,"B",IF(H18&gt;4,"C",IF(H18&gt;3,"D","E"))))</f>
        <v>D</v>
      </c>
      <c r="N18" s="116" t="s">
        <v>18</v>
      </c>
      <c r="O18" s="108"/>
      <c r="P18" t="s">
        <v>18</v>
      </c>
      <c r="Q18">
        <v>4.33</v>
      </c>
      <c r="U18">
        <v>3.67</v>
      </c>
      <c r="X18">
        <v>3.02</v>
      </c>
      <c r="AB18">
        <v>3.01</v>
      </c>
      <c r="AF18">
        <v>2.72</v>
      </c>
      <c r="AJ18">
        <v>3.113</v>
      </c>
    </row>
    <row r="19" spans="2:36" ht="12.75">
      <c r="B19" s="71" t="s">
        <v>106</v>
      </c>
      <c r="C19" s="7" t="s">
        <v>19</v>
      </c>
      <c r="D19" s="86">
        <f>COUNT(Q19:EC19)</f>
        <v>7</v>
      </c>
      <c r="E19" s="113">
        <f>AVERAGE(Q19:EC19)</f>
        <v>5.7542857142857144</v>
      </c>
      <c r="F19" s="113">
        <f>CONFIDENCE(0.05,G19,D19)</f>
        <v>2.345035613775354</v>
      </c>
      <c r="G19" s="113">
        <f>STDEV(Q19:EC19)</f>
        <v>3.16555870341428</v>
      </c>
      <c r="H19" s="113">
        <f>QUARTILE(Q19:EC19,2)</f>
        <v>6.1</v>
      </c>
      <c r="I19" s="113">
        <f>MIN(Q19:EC19)</f>
        <v>2.5</v>
      </c>
      <c r="J19" s="113">
        <f>MAX(Q19:EC19)</f>
        <v>10</v>
      </c>
      <c r="K19" s="113">
        <f>PERCENTILE(Q19:EC19,0.95)</f>
        <v>9.67</v>
      </c>
      <c r="L19" s="102" t="str">
        <f>IF(H19&gt;8,"A",IF(H19&gt;6,"B",IF(H19&gt;4,"C",IF(H19&gt;2,"D","E"))))</f>
        <v>B</v>
      </c>
      <c r="N19" s="116" t="s">
        <v>96</v>
      </c>
      <c r="O19" s="108"/>
      <c r="P19" t="s">
        <v>96</v>
      </c>
      <c r="R19">
        <v>2.64</v>
      </c>
      <c r="S19">
        <v>2.74</v>
      </c>
      <c r="T19">
        <v>10</v>
      </c>
      <c r="X19">
        <v>2.5</v>
      </c>
      <c r="AB19">
        <v>7.4</v>
      </c>
      <c r="AF19">
        <v>6.1</v>
      </c>
      <c r="AJ19">
        <v>8.9</v>
      </c>
    </row>
    <row r="20" spans="2:36" ht="12.75">
      <c r="B20" s="72"/>
      <c r="C20" s="97" t="s">
        <v>122</v>
      </c>
      <c r="D20" s="87">
        <f>COUNT(Q20:EC20)</f>
        <v>4</v>
      </c>
      <c r="E20" s="114">
        <f>AVERAGE(Q20:EC20)</f>
        <v>36.65</v>
      </c>
      <c r="F20" s="114">
        <f>CONFIDENCE(0.05,G20,D20)</f>
        <v>37.504385852034815</v>
      </c>
      <c r="G20" s="114">
        <f>STDEV(Q20:EC20)</f>
        <v>38.27048471080553</v>
      </c>
      <c r="H20" s="114">
        <f>QUARTILE(Q20:EC20,2)</f>
        <v>36.4</v>
      </c>
      <c r="I20" s="114">
        <f>MIN(Q20:EC20)</f>
        <v>0</v>
      </c>
      <c r="J20" s="114">
        <f>MAX(Q20:EC20)</f>
        <v>73.8</v>
      </c>
      <c r="K20" s="114">
        <f>PERCENTILE(Q20:EC20,0.95)</f>
        <v>72.52499999999999</v>
      </c>
      <c r="L20" s="105"/>
      <c r="N20" s="116" t="s">
        <v>97</v>
      </c>
      <c r="O20" s="108"/>
      <c r="P20" t="s">
        <v>97</v>
      </c>
      <c r="X20">
        <v>73.8</v>
      </c>
      <c r="AB20">
        <v>7.5</v>
      </c>
      <c r="AF20">
        <v>65.3</v>
      </c>
      <c r="AJ20">
        <v>0</v>
      </c>
    </row>
    <row r="21" spans="2:17" ht="12.75">
      <c r="B21" s="71" t="s">
        <v>112</v>
      </c>
      <c r="C21" s="7" t="s">
        <v>21</v>
      </c>
      <c r="D21" s="81">
        <v>3</v>
      </c>
      <c r="E21" s="82">
        <v>0.2833333333333333</v>
      </c>
      <c r="F21" s="82"/>
      <c r="G21" s="82"/>
      <c r="H21" s="82"/>
      <c r="I21" s="82">
        <v>0.05</v>
      </c>
      <c r="J21" s="82">
        <v>0.7</v>
      </c>
      <c r="K21" s="82"/>
      <c r="L21" s="169" t="str">
        <f>IF(E21&gt;=H34,"E","A - D")</f>
        <v>A - D</v>
      </c>
      <c r="O21" s="108"/>
      <c r="Q21" s="64"/>
    </row>
    <row r="22" spans="2:15" ht="12.75">
      <c r="B22" s="73" t="s">
        <v>111</v>
      </c>
      <c r="C22" s="9" t="s">
        <v>22</v>
      </c>
      <c r="D22" s="81">
        <v>3</v>
      </c>
      <c r="E22" s="82">
        <v>26.666666666666668</v>
      </c>
      <c r="F22" s="82"/>
      <c r="G22" s="82"/>
      <c r="H22" s="82"/>
      <c r="I22" s="82">
        <v>23</v>
      </c>
      <c r="J22" s="82">
        <v>30</v>
      </c>
      <c r="K22" s="82"/>
      <c r="L22" s="169" t="str">
        <f>IF(E22&gt;=H35,"E","A - D")</f>
        <v>A - D</v>
      </c>
      <c r="N22" s="111"/>
      <c r="O22" s="108"/>
    </row>
    <row r="23" spans="2:15" ht="12.75">
      <c r="B23" s="73"/>
      <c r="C23" s="9" t="s">
        <v>23</v>
      </c>
      <c r="D23" s="81">
        <v>3</v>
      </c>
      <c r="E23" s="82">
        <v>26</v>
      </c>
      <c r="F23" s="82"/>
      <c r="G23" s="82"/>
      <c r="H23" s="82"/>
      <c r="I23" s="82">
        <v>17</v>
      </c>
      <c r="J23" s="82">
        <v>43</v>
      </c>
      <c r="K23" s="82"/>
      <c r="L23" s="169" t="str">
        <f>IF(E23&gt;=H36,"E","A - D")</f>
        <v>A - D</v>
      </c>
      <c r="N23" s="111"/>
      <c r="O23" s="108"/>
    </row>
    <row r="24" spans="2:15" ht="12.75">
      <c r="B24" s="73"/>
      <c r="C24" s="9" t="s">
        <v>24</v>
      </c>
      <c r="D24" s="81">
        <v>3</v>
      </c>
      <c r="E24" s="82">
        <v>123</v>
      </c>
      <c r="F24" s="82"/>
      <c r="G24" s="82"/>
      <c r="H24" s="82"/>
      <c r="I24" s="82">
        <v>89</v>
      </c>
      <c r="J24" s="82">
        <v>140</v>
      </c>
      <c r="K24" s="82"/>
      <c r="L24" s="169" t="str">
        <f>IF(E24&gt;=H37,"E","A - D")</f>
        <v>A - D</v>
      </c>
      <c r="N24" s="111"/>
      <c r="O24" s="108"/>
    </row>
    <row r="25" spans="2:15" ht="13.5" thickBot="1">
      <c r="B25" s="75"/>
      <c r="C25" s="98"/>
      <c r="D25" s="83"/>
      <c r="E25" s="84"/>
      <c r="F25" s="84"/>
      <c r="G25" s="84"/>
      <c r="H25" s="84"/>
      <c r="I25" s="84"/>
      <c r="J25" s="84"/>
      <c r="K25" s="84"/>
      <c r="L25" s="91"/>
      <c r="O25" s="108"/>
    </row>
    <row r="26" spans="2:15" ht="12.75">
      <c r="B26" s="80"/>
      <c r="C26" s="89"/>
      <c r="D26" s="89"/>
      <c r="E26" s="89"/>
      <c r="F26" s="89"/>
      <c r="G26" s="89"/>
      <c r="H26" s="89"/>
      <c r="I26" s="89"/>
      <c r="J26" s="89"/>
      <c r="K26" s="89"/>
      <c r="L26" s="100"/>
      <c r="O26" s="108"/>
    </row>
    <row r="27" spans="2:15" ht="12.75">
      <c r="B27" s="210" t="s">
        <v>119</v>
      </c>
      <c r="C27" s="211"/>
      <c r="D27" s="211"/>
      <c r="E27" s="211"/>
      <c r="F27" s="211"/>
      <c r="G27" s="76" t="str">
        <f>'Combined Score Calcs'!G10</f>
        <v>D</v>
      </c>
      <c r="H27" s="39"/>
      <c r="I27" s="39"/>
      <c r="J27" s="39"/>
      <c r="K27" s="99"/>
      <c r="L27" s="90"/>
      <c r="O27" s="108"/>
    </row>
    <row r="28" spans="2:15" ht="13.5" thickBot="1">
      <c r="B28" s="83"/>
      <c r="C28" s="84"/>
      <c r="D28" s="84"/>
      <c r="E28" s="84"/>
      <c r="F28" s="84"/>
      <c r="G28" s="84"/>
      <c r="H28" s="84"/>
      <c r="I28" s="84"/>
      <c r="J28" s="84"/>
      <c r="K28" s="84"/>
      <c r="L28" s="91"/>
      <c r="O28" s="108"/>
    </row>
    <row r="29" spans="12:15" ht="12.75">
      <c r="L29" s="60"/>
      <c r="O29" s="108"/>
    </row>
    <row r="30" ht="12.75">
      <c r="L30" s="60"/>
    </row>
    <row r="31" ht="12.75">
      <c r="L31" s="60"/>
    </row>
    <row r="32" ht="12.75">
      <c r="L32" s="60"/>
    </row>
    <row r="33" spans="7:12" ht="12.75">
      <c r="G33" t="s">
        <v>140</v>
      </c>
      <c r="H33" t="s">
        <v>141</v>
      </c>
      <c r="L33" s="60"/>
    </row>
    <row r="34" spans="7:12" ht="12.75">
      <c r="G34" s="118" t="s">
        <v>21</v>
      </c>
      <c r="H34" s="136">
        <v>1.5</v>
      </c>
      <c r="I34" s="137">
        <v>10</v>
      </c>
      <c r="J34" s="119"/>
      <c r="K34" s="119"/>
      <c r="L34" s="60"/>
    </row>
    <row r="35" spans="7:12" ht="12.75">
      <c r="G35" s="122" t="s">
        <v>22</v>
      </c>
      <c r="H35" s="137">
        <v>65</v>
      </c>
      <c r="I35" s="137">
        <v>270</v>
      </c>
      <c r="J35" s="119"/>
      <c r="K35" s="119"/>
      <c r="L35" s="60"/>
    </row>
    <row r="36" spans="7:12" ht="12.75">
      <c r="G36" s="122" t="s">
        <v>23</v>
      </c>
      <c r="H36" s="137">
        <v>50</v>
      </c>
      <c r="I36" s="137">
        <v>220</v>
      </c>
      <c r="J36" s="119"/>
      <c r="K36" s="119"/>
      <c r="L36" s="60"/>
    </row>
    <row r="37" spans="7:12" ht="12.75">
      <c r="G37" s="122" t="s">
        <v>24</v>
      </c>
      <c r="H37" s="137">
        <v>200</v>
      </c>
      <c r="I37" s="137">
        <v>210</v>
      </c>
      <c r="J37" s="119"/>
      <c r="K37" s="119"/>
      <c r="L37" s="60"/>
    </row>
    <row r="38" spans="7:12" ht="12.75">
      <c r="G38" s="122"/>
      <c r="H38" t="s">
        <v>137</v>
      </c>
      <c r="I38" t="s">
        <v>138</v>
      </c>
      <c r="L38" s="60"/>
    </row>
    <row r="39" ht="12.75">
      <c r="L39" s="60"/>
    </row>
    <row r="40" ht="12.75">
      <c r="L40" s="60"/>
    </row>
    <row r="41" ht="12.75">
      <c r="L41" s="60"/>
    </row>
    <row r="42" spans="6:12" ht="12.75">
      <c r="F42" s="158"/>
      <c r="G42" s="153"/>
      <c r="H42" s="119"/>
      <c r="I42" s="119"/>
      <c r="J42" s="119"/>
      <c r="K42" s="119"/>
      <c r="L42" s="119"/>
    </row>
    <row r="43" spans="6:12" ht="12.75">
      <c r="F43" s="158"/>
      <c r="G43" s="153"/>
      <c r="H43" s="119"/>
      <c r="I43" s="119"/>
      <c r="J43" s="119"/>
      <c r="K43" s="119"/>
      <c r="L43" s="119"/>
    </row>
    <row r="44" spans="6:12" ht="12.75">
      <c r="F44" s="158"/>
      <c r="G44" s="153"/>
      <c r="H44" s="119"/>
      <c r="I44" s="119"/>
      <c r="J44" s="119"/>
      <c r="K44" s="119"/>
      <c r="L44" s="119"/>
    </row>
    <row r="45" spans="6:12" ht="12.75">
      <c r="F45" s="158"/>
      <c r="G45" s="153"/>
      <c r="H45" s="119"/>
      <c r="I45" s="119"/>
      <c r="J45" s="119"/>
      <c r="K45" s="119"/>
      <c r="L45" s="119"/>
    </row>
    <row r="46" ht="12.75">
      <c r="L46" s="60"/>
    </row>
    <row r="47" ht="12.75">
      <c r="L47" s="60"/>
    </row>
  </sheetData>
  <mergeCells count="1">
    <mergeCell ref="B27:F27"/>
  </mergeCells>
  <printOptions/>
  <pageMargins left="0.75" right="0.75" top="1" bottom="1" header="0.5" footer="0.5"/>
  <pageSetup horizontalDpi="600" verticalDpi="600" orientation="portrait" paperSize="133" r:id="rId1"/>
</worksheet>
</file>

<file path=xl/worksheets/sheet27.xml><?xml version="1.0" encoding="utf-8"?>
<worksheet xmlns="http://schemas.openxmlformats.org/spreadsheetml/2006/main" xmlns:r="http://schemas.openxmlformats.org/officeDocument/2006/relationships">
  <dimension ref="B1:AQ47"/>
  <sheetViews>
    <sheetView workbookViewId="0" topLeftCell="A1">
      <selection activeCell="P2" sqref="P2"/>
    </sheetView>
  </sheetViews>
  <sheetFormatPr defaultColWidth="9.140625" defaultRowHeight="12.75"/>
  <cols>
    <col min="3" max="3" width="28.7109375" style="0" bestFit="1" customWidth="1"/>
    <col min="14" max="14" width="34.140625" style="0" customWidth="1"/>
    <col min="16" max="16" width="33.57421875" style="0" customWidth="1"/>
  </cols>
  <sheetData>
    <row r="1" spans="2:15" ht="15.75">
      <c r="B1" s="107" t="s">
        <v>123</v>
      </c>
      <c r="O1" s="109" t="s">
        <v>125</v>
      </c>
    </row>
    <row r="2" spans="12:39" ht="13.5" thickBot="1">
      <c r="L2" s="60"/>
      <c r="N2" s="116" t="s">
        <v>84</v>
      </c>
      <c r="O2" s="110"/>
      <c r="P2" t="s">
        <v>84</v>
      </c>
      <c r="Q2" t="s">
        <v>25</v>
      </c>
      <c r="R2" t="s">
        <v>25</v>
      </c>
      <c r="S2" t="s">
        <v>25</v>
      </c>
      <c r="T2" t="s">
        <v>25</v>
      </c>
      <c r="U2" t="s">
        <v>25</v>
      </c>
      <c r="V2" t="s">
        <v>25</v>
      </c>
      <c r="W2" t="s">
        <v>25</v>
      </c>
      <c r="X2" t="s">
        <v>25</v>
      </c>
      <c r="Y2" t="s">
        <v>25</v>
      </c>
      <c r="Z2" t="s">
        <v>25</v>
      </c>
      <c r="AA2" t="s">
        <v>25</v>
      </c>
      <c r="AB2" t="s">
        <v>25</v>
      </c>
      <c r="AC2" t="s">
        <v>25</v>
      </c>
      <c r="AD2" t="s">
        <v>25</v>
      </c>
      <c r="AE2" t="s">
        <v>25</v>
      </c>
      <c r="AF2" t="s">
        <v>25</v>
      </c>
      <c r="AG2" t="s">
        <v>25</v>
      </c>
      <c r="AH2" t="s">
        <v>25</v>
      </c>
      <c r="AI2" t="s">
        <v>25</v>
      </c>
      <c r="AJ2" t="s">
        <v>25</v>
      </c>
      <c r="AK2" t="s">
        <v>25</v>
      </c>
      <c r="AL2" t="s">
        <v>25</v>
      </c>
      <c r="AM2" t="s">
        <v>25</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36831.37152777778</v>
      </c>
      <c r="R3" s="64">
        <v>36917.333333333336</v>
      </c>
      <c r="S3" s="64">
        <v>37011.364583333336</v>
      </c>
      <c r="T3" s="64">
        <v>37106.36111111111</v>
      </c>
      <c r="U3" s="64">
        <v>37221.354166666664</v>
      </c>
      <c r="V3" s="64">
        <v>37383.375</v>
      </c>
      <c r="W3" s="64">
        <v>37474.368055555555</v>
      </c>
      <c r="X3" s="64">
        <v>37585.381944444445</v>
      </c>
      <c r="Y3" s="64">
        <v>37648.385416666664</v>
      </c>
      <c r="Z3" s="64">
        <v>37746.375</v>
      </c>
      <c r="AA3" s="64">
        <v>37837.38888888889</v>
      </c>
      <c r="AB3" s="64">
        <v>37949.430555555555</v>
      </c>
      <c r="AC3" s="64">
        <v>38027.40277777778</v>
      </c>
      <c r="AD3" s="64">
        <v>38111.37847222222</v>
      </c>
      <c r="AE3" s="64">
        <v>38202.354166666664</v>
      </c>
      <c r="AF3" s="64">
        <v>38335.43402777778</v>
      </c>
      <c r="AG3" s="64">
        <v>38393.333333333336</v>
      </c>
      <c r="AH3" s="64">
        <v>38477.381944444445</v>
      </c>
      <c r="AI3" s="64">
        <v>38593.395833333336</v>
      </c>
      <c r="AJ3" s="64">
        <v>38680.38888888889</v>
      </c>
      <c r="AK3" s="64">
        <v>38776.37708333333</v>
      </c>
      <c r="AL3" s="64">
        <v>38869.34722222222</v>
      </c>
      <c r="AM3" s="64">
        <v>38960.38055555556</v>
      </c>
      <c r="AO3" s="64"/>
      <c r="AP3" s="64"/>
      <c r="AQ3" s="64"/>
    </row>
    <row r="4" spans="2:39" ht="12.75">
      <c r="B4" s="68" t="s">
        <v>103</v>
      </c>
      <c r="C4" s="93" t="s">
        <v>4</v>
      </c>
      <c r="D4" s="81">
        <f>COUNT(Q4:EC4)</f>
        <v>20</v>
      </c>
      <c r="E4" s="82">
        <f>AVERAGE(Q4:EC4)</f>
        <v>1.2169999999999999</v>
      </c>
      <c r="F4" s="82">
        <f>CONFIDENCE(0.05,G4,D4)</f>
        <v>0.3876336864408329</v>
      </c>
      <c r="G4" s="82">
        <f>STDEV(Q4:EC4)</f>
        <v>0.88448081708394</v>
      </c>
      <c r="H4" s="82">
        <f>QUARTILE(Q4:EC4,2)</f>
        <v>0.965</v>
      </c>
      <c r="I4" s="82">
        <f>MIN(Q4:EC4)</f>
        <v>0.06</v>
      </c>
      <c r="J4" s="82">
        <f>MAX(Q4:EC4)</f>
        <v>3.9</v>
      </c>
      <c r="K4" s="82">
        <f>PERCENTILE(Q4:EC4,0.95)</f>
        <v>2.475000000000001</v>
      </c>
      <c r="L4" s="102" t="str">
        <f>IF((H4+H5)&lt;0.08,"A",IF((H4+H5)&lt;0.12,"B",IF((H4+H5)&lt;0.295,"C",IF((H4+H5)&lt;0.444,"D","E"))))</f>
        <v>E</v>
      </c>
      <c r="N4" s="116" t="s">
        <v>86</v>
      </c>
      <c r="O4" s="108"/>
      <c r="P4" t="s">
        <v>86</v>
      </c>
      <c r="R4">
        <v>2</v>
      </c>
      <c r="S4">
        <v>0.06</v>
      </c>
      <c r="V4">
        <v>0.59</v>
      </c>
      <c r="W4">
        <v>1.6</v>
      </c>
      <c r="X4">
        <v>0.91</v>
      </c>
      <c r="Y4">
        <v>1.3</v>
      </c>
      <c r="Z4">
        <v>0.75</v>
      </c>
      <c r="AA4">
        <v>2.4</v>
      </c>
      <c r="AB4">
        <v>0.99</v>
      </c>
      <c r="AC4">
        <v>1.2</v>
      </c>
      <c r="AD4">
        <v>0.53</v>
      </c>
      <c r="AE4">
        <v>2</v>
      </c>
      <c r="AF4">
        <v>0.94</v>
      </c>
      <c r="AG4">
        <v>0.59</v>
      </c>
      <c r="AH4">
        <v>0.59</v>
      </c>
      <c r="AI4">
        <v>1.5</v>
      </c>
      <c r="AJ4">
        <v>0.58</v>
      </c>
      <c r="AK4">
        <v>0.31</v>
      </c>
      <c r="AL4">
        <v>3.9</v>
      </c>
      <c r="AM4">
        <v>1.6</v>
      </c>
    </row>
    <row r="5" spans="2:39" ht="12.75">
      <c r="B5" s="69"/>
      <c r="C5" s="5" t="s">
        <v>5</v>
      </c>
      <c r="D5" s="73">
        <f>COUNT(Q5:EC5)</f>
        <v>18</v>
      </c>
      <c r="E5" s="112">
        <f>AVERAGE(Q5:EC5)</f>
        <v>0.05044444444444446</v>
      </c>
      <c r="F5" s="112">
        <f aca="true" t="shared" si="0" ref="F5:F20">CONFIDENCE(0.05,G5,D5)</f>
        <v>0.008968006409205372</v>
      </c>
      <c r="G5" s="112">
        <f>STDEV(Q5:EC5)</f>
        <v>0.019412616340993623</v>
      </c>
      <c r="H5" s="112">
        <f>QUARTILE(Q5:EC5,2)</f>
        <v>0.0485</v>
      </c>
      <c r="I5" s="112">
        <f>MIN(Q5:EC5)</f>
        <v>0.026</v>
      </c>
      <c r="J5" s="112">
        <f>MAX(Q5:EC5)</f>
        <v>0.11</v>
      </c>
      <c r="K5" s="112">
        <f>PERCENTILE(Q5:EC5,0.95)</f>
        <v>0.07769999999999994</v>
      </c>
      <c r="L5" s="102"/>
      <c r="N5" s="116" t="s">
        <v>87</v>
      </c>
      <c r="O5" s="108"/>
      <c r="P5" t="s">
        <v>87</v>
      </c>
      <c r="V5">
        <v>0.057</v>
      </c>
      <c r="W5">
        <v>0.057</v>
      </c>
      <c r="X5">
        <v>0.051</v>
      </c>
      <c r="Y5">
        <v>0.052</v>
      </c>
      <c r="Z5">
        <v>0.11</v>
      </c>
      <c r="AA5">
        <v>0.042</v>
      </c>
      <c r="AB5">
        <v>0.026</v>
      </c>
      <c r="AC5">
        <v>0.031</v>
      </c>
      <c r="AD5">
        <v>0.066</v>
      </c>
      <c r="AE5">
        <v>0.058</v>
      </c>
      <c r="AF5">
        <v>0.035</v>
      </c>
      <c r="AG5">
        <v>0.043</v>
      </c>
      <c r="AH5">
        <v>0.042</v>
      </c>
      <c r="AI5">
        <v>0.046</v>
      </c>
      <c r="AJ5">
        <v>0.03</v>
      </c>
      <c r="AK5">
        <v>0.038</v>
      </c>
      <c r="AL5">
        <v>0.052</v>
      </c>
      <c r="AM5">
        <v>0.072</v>
      </c>
    </row>
    <row r="6" spans="2:39" ht="12.75">
      <c r="B6" s="70"/>
      <c r="C6" s="94" t="s">
        <v>6</v>
      </c>
      <c r="D6" s="73">
        <f>COUNT(Q6:EC6)</f>
        <v>23</v>
      </c>
      <c r="E6" s="112">
        <f>AVERAGE(Q6:EC6)</f>
        <v>0.02182608695652175</v>
      </c>
      <c r="F6" s="112">
        <f t="shared" si="0"/>
        <v>0.004179841961869136</v>
      </c>
      <c r="G6" s="112">
        <f>STDEV(Q6:EC6)</f>
        <v>0.010227646018659595</v>
      </c>
      <c r="H6" s="112">
        <f>QUARTILE(Q6:EC6,2)</f>
        <v>0.018</v>
      </c>
      <c r="I6" s="112">
        <f>MIN(Q6:EC6)</f>
        <v>0.01</v>
      </c>
      <c r="J6" s="112">
        <f>MAX(Q6:EC6)</f>
        <v>0.054</v>
      </c>
      <c r="K6" s="112">
        <f>PERCENTILE(Q6:EC6,0.95)</f>
        <v>0.0349</v>
      </c>
      <c r="L6" s="102" t="str">
        <f>IF((H6)&lt;0.005,"A",IF((H6)&lt;0.008,"B",IF((H6)&lt;0.026,"C",IF((H6)&lt;0.05,"D","E"))))</f>
        <v>C</v>
      </c>
      <c r="N6" s="116" t="s">
        <v>88</v>
      </c>
      <c r="O6" s="108"/>
      <c r="P6" t="s">
        <v>88</v>
      </c>
      <c r="Q6">
        <v>0.012</v>
      </c>
      <c r="R6">
        <v>0.024</v>
      </c>
      <c r="S6">
        <v>0.017</v>
      </c>
      <c r="T6">
        <v>0.019</v>
      </c>
      <c r="U6">
        <v>0.015</v>
      </c>
      <c r="V6">
        <v>0.024</v>
      </c>
      <c r="W6">
        <v>0.016</v>
      </c>
      <c r="X6">
        <v>0.013</v>
      </c>
      <c r="Y6">
        <v>0.032</v>
      </c>
      <c r="Z6">
        <v>0.034</v>
      </c>
      <c r="AA6">
        <v>0.01</v>
      </c>
      <c r="AB6">
        <v>0.013</v>
      </c>
      <c r="AC6">
        <v>0.026</v>
      </c>
      <c r="AD6">
        <v>0.054</v>
      </c>
      <c r="AE6">
        <v>0.029</v>
      </c>
      <c r="AF6">
        <v>0.013</v>
      </c>
      <c r="AG6">
        <v>0.015</v>
      </c>
      <c r="AH6">
        <v>0.016</v>
      </c>
      <c r="AI6">
        <v>0.029</v>
      </c>
      <c r="AJ6">
        <v>0.016</v>
      </c>
      <c r="AK6">
        <v>0.022</v>
      </c>
      <c r="AL6">
        <v>0.035</v>
      </c>
      <c r="AM6">
        <v>0.018</v>
      </c>
    </row>
    <row r="7" spans="2:39" ht="12.75">
      <c r="B7" s="71" t="s">
        <v>104</v>
      </c>
      <c r="C7" s="6" t="s">
        <v>7</v>
      </c>
      <c r="D7" s="86">
        <f>COUNT(Q7:EC7)</f>
        <v>23</v>
      </c>
      <c r="E7" s="113">
        <f>AVERAGE(Q7:EC7)</f>
        <v>6.9626086956521736</v>
      </c>
      <c r="F7" s="113">
        <f t="shared" si="0"/>
        <v>0.23565106896415844</v>
      </c>
      <c r="G7" s="113">
        <f>STDEV(Q7:EC7)</f>
        <v>0.5766140775825848</v>
      </c>
      <c r="H7" s="113">
        <f>QUARTILE(Q7:EC7,2)</f>
        <v>7.08</v>
      </c>
      <c r="I7" s="113">
        <f>MIN(Q7:EC7)</f>
        <v>5.28</v>
      </c>
      <c r="J7" s="113">
        <f>MAX(Q7:EC7)</f>
        <v>7.7</v>
      </c>
      <c r="K7" s="113">
        <f>PERCENTILE(Q7:EC7,0.95)</f>
        <v>7.677</v>
      </c>
      <c r="L7" s="103" t="str">
        <f>IF(AND(7.2&lt;H7,H7&lt;9),"A",IF(AND(7.2&lt;=H7,H7&lt;=9),"B",IF(AND(6.5&lt;=H7,H7&lt;=9),"C",IF(AND(6.5&lt;=H7,H7&lt;=10),"D","E"))))</f>
        <v>C</v>
      </c>
      <c r="N7" s="116" t="s">
        <v>89</v>
      </c>
      <c r="O7" s="108"/>
      <c r="P7" t="s">
        <v>89</v>
      </c>
      <c r="Q7">
        <v>7.7</v>
      </c>
      <c r="R7">
        <v>6.37</v>
      </c>
      <c r="S7">
        <v>7.1</v>
      </c>
      <c r="T7">
        <v>7.11</v>
      </c>
      <c r="U7">
        <v>7.08</v>
      </c>
      <c r="V7">
        <v>6.25</v>
      </c>
      <c r="W7">
        <v>7.32</v>
      </c>
      <c r="X7">
        <v>7.42</v>
      </c>
      <c r="Y7">
        <v>6.81</v>
      </c>
      <c r="Z7">
        <v>7.17</v>
      </c>
      <c r="AA7">
        <v>6.88</v>
      </c>
      <c r="AB7">
        <v>7.68</v>
      </c>
      <c r="AC7">
        <v>6.86</v>
      </c>
      <c r="AD7">
        <v>7.01</v>
      </c>
      <c r="AE7">
        <v>6.77</v>
      </c>
      <c r="AF7">
        <v>7.25</v>
      </c>
      <c r="AG7">
        <v>7.03</v>
      </c>
      <c r="AH7">
        <v>5.86</v>
      </c>
      <c r="AI7">
        <v>7.65</v>
      </c>
      <c r="AJ7">
        <v>6.97</v>
      </c>
      <c r="AK7">
        <v>5.28</v>
      </c>
      <c r="AL7">
        <v>7.1</v>
      </c>
      <c r="AM7">
        <v>7.47</v>
      </c>
    </row>
    <row r="8" spans="2:39" ht="12.75">
      <c r="B8" s="71"/>
      <c r="C8" s="6" t="s">
        <v>8</v>
      </c>
      <c r="D8" s="81">
        <f>COUNT(Q8:EC8)</f>
        <v>23</v>
      </c>
      <c r="E8" s="44">
        <f>AVERAGE(Q8:EC8)</f>
        <v>12.25782608695652</v>
      </c>
      <c r="F8" s="44">
        <f t="shared" si="0"/>
        <v>1.5571106599353162</v>
      </c>
      <c r="G8" s="44">
        <f>STDEV(Q8:EC8)</f>
        <v>3.810090617535759</v>
      </c>
      <c r="H8" s="44">
        <f>QUARTILE(Q8:EC8,2)</f>
        <v>12.2</v>
      </c>
      <c r="I8" s="44">
        <f>MIN(Q8:EC8)</f>
        <v>6.1</v>
      </c>
      <c r="J8" s="44">
        <f>MAX(Q8:EC8)</f>
        <v>18.9</v>
      </c>
      <c r="K8" s="44">
        <f>PERCENTILE(Q8:EC8,0.95)</f>
        <v>17.93</v>
      </c>
      <c r="L8" s="102" t="str">
        <f>IF(H8&lt;18,"A",IF(H8&lt;20,"B",IF(H8&lt;22,"C",IF(H8&lt;25,"D","E"))))</f>
        <v>A</v>
      </c>
      <c r="N8" s="116" t="s">
        <v>90</v>
      </c>
      <c r="O8" s="108"/>
      <c r="P8" t="s">
        <v>90</v>
      </c>
      <c r="Q8">
        <v>15.5</v>
      </c>
      <c r="R8">
        <v>15.5</v>
      </c>
      <c r="S8">
        <v>11</v>
      </c>
      <c r="T8">
        <v>6.3</v>
      </c>
      <c r="U8">
        <v>13.89</v>
      </c>
      <c r="V8">
        <v>10.93</v>
      </c>
      <c r="W8">
        <v>7.4</v>
      </c>
      <c r="X8">
        <v>13.4</v>
      </c>
      <c r="Y8">
        <v>15.9</v>
      </c>
      <c r="Z8">
        <v>9.8</v>
      </c>
      <c r="AA8">
        <v>7.9</v>
      </c>
      <c r="AB8">
        <v>16.3</v>
      </c>
      <c r="AC8">
        <v>18.9</v>
      </c>
      <c r="AD8">
        <v>12.2</v>
      </c>
      <c r="AE8">
        <v>6.1</v>
      </c>
      <c r="AF8">
        <v>16.4</v>
      </c>
      <c r="AG8">
        <v>18.1</v>
      </c>
      <c r="AH8">
        <v>10.7</v>
      </c>
      <c r="AI8">
        <v>9.36</v>
      </c>
      <c r="AJ8">
        <v>13.85</v>
      </c>
      <c r="AK8">
        <v>14.86</v>
      </c>
      <c r="AL8">
        <v>9.14</v>
      </c>
      <c r="AM8">
        <v>8.5</v>
      </c>
    </row>
    <row r="9" spans="2:39" ht="12.75">
      <c r="B9" s="71"/>
      <c r="C9" s="7" t="s">
        <v>9</v>
      </c>
      <c r="D9" s="81">
        <f>COUNT(Q9:EC9)</f>
        <v>23</v>
      </c>
      <c r="E9" s="44">
        <f>AVERAGE(Q9:EC9)</f>
        <v>85.72173913043478</v>
      </c>
      <c r="F9" s="44">
        <f t="shared" si="0"/>
        <v>7.356056817043137</v>
      </c>
      <c r="G9" s="44">
        <f>STDEV(Q9:EC9)</f>
        <v>17.999519097660208</v>
      </c>
      <c r="H9" s="44">
        <f>QUARTILE(Q9:EC9,2)</f>
        <v>88</v>
      </c>
      <c r="I9" s="44">
        <f>MIN(Q9:EC9)</f>
        <v>19.7</v>
      </c>
      <c r="J9" s="44">
        <f>MAX(Q9:EC9)</f>
        <v>107.7</v>
      </c>
      <c r="K9" s="44">
        <f>PERCENTILE(Q9:EC9,0.95)</f>
        <v>105.19</v>
      </c>
      <c r="L9" s="104" t="str">
        <f>IF(AND(99&lt;=H9,H9&lt;=103),"A",IF(AND(98&lt;=H9,H9&lt;=105),"B",IF(H9&gt;90,"C",IF(H9&gt;80,"D","E"))))</f>
        <v>D</v>
      </c>
      <c r="N9" s="116" t="s">
        <v>91</v>
      </c>
      <c r="O9" s="108"/>
      <c r="P9" t="s">
        <v>91</v>
      </c>
      <c r="Q9">
        <v>89.9</v>
      </c>
      <c r="R9">
        <v>69.5</v>
      </c>
      <c r="S9">
        <v>19.7</v>
      </c>
      <c r="T9">
        <v>78.7</v>
      </c>
      <c r="U9">
        <v>95.9</v>
      </c>
      <c r="V9">
        <v>77.4</v>
      </c>
      <c r="W9">
        <v>96</v>
      </c>
      <c r="X9">
        <v>101.9</v>
      </c>
      <c r="Y9">
        <v>84.4</v>
      </c>
      <c r="Z9">
        <v>77</v>
      </c>
      <c r="AA9">
        <v>94.7</v>
      </c>
      <c r="AB9">
        <v>107.7</v>
      </c>
      <c r="AC9">
        <v>81</v>
      </c>
      <c r="AD9">
        <v>88</v>
      </c>
      <c r="AE9">
        <v>95.5</v>
      </c>
      <c r="AF9">
        <v>91.8</v>
      </c>
      <c r="AG9">
        <v>78.4</v>
      </c>
      <c r="AH9">
        <v>87.3</v>
      </c>
      <c r="AI9">
        <v>105.3</v>
      </c>
      <c r="AJ9">
        <v>85.8</v>
      </c>
      <c r="AK9">
        <v>69.2</v>
      </c>
      <c r="AL9">
        <v>92.3</v>
      </c>
      <c r="AM9">
        <v>104.2</v>
      </c>
    </row>
    <row r="10" spans="2:39" ht="12.75">
      <c r="B10" s="71"/>
      <c r="C10" s="6" t="s">
        <v>10</v>
      </c>
      <c r="D10" s="81">
        <f>COUNT(Q10:EC10)</f>
        <v>23</v>
      </c>
      <c r="E10" s="44">
        <f>AVERAGE(Q10:EC10)</f>
        <v>9.232173913043477</v>
      </c>
      <c r="F10" s="44">
        <f t="shared" si="0"/>
        <v>0.9154887776259026</v>
      </c>
      <c r="G10" s="44">
        <f>STDEV(Q10:EC10)</f>
        <v>2.2401074578968143</v>
      </c>
      <c r="H10" s="44">
        <f>QUARTILE(Q10:EC10,2)</f>
        <v>9.43</v>
      </c>
      <c r="I10" s="44">
        <f>MIN(Q10:EC10)</f>
        <v>1.98</v>
      </c>
      <c r="J10" s="44">
        <f>MAX(Q10:EC10)</f>
        <v>12.19</v>
      </c>
      <c r="K10" s="44">
        <f>PERCENTILE(Q10:EC10,0.95)</f>
        <v>12.05</v>
      </c>
      <c r="L10" s="102"/>
      <c r="N10" s="116" t="s">
        <v>92</v>
      </c>
      <c r="O10" s="108"/>
      <c r="P10" t="s">
        <v>92</v>
      </c>
      <c r="Q10">
        <v>9.02</v>
      </c>
      <c r="R10">
        <v>6.93</v>
      </c>
      <c r="S10">
        <v>1.98</v>
      </c>
      <c r="T10">
        <v>9.69</v>
      </c>
      <c r="U10">
        <v>9.6</v>
      </c>
      <c r="V10">
        <v>8.54</v>
      </c>
      <c r="W10">
        <v>11.52</v>
      </c>
      <c r="X10">
        <v>10.64</v>
      </c>
      <c r="Y10">
        <v>8.34</v>
      </c>
      <c r="Z10">
        <v>8.72</v>
      </c>
      <c r="AA10">
        <v>11.24</v>
      </c>
      <c r="AB10">
        <v>10.55</v>
      </c>
      <c r="AC10">
        <v>7.52</v>
      </c>
      <c r="AD10">
        <v>9.43</v>
      </c>
      <c r="AE10">
        <v>11.87</v>
      </c>
      <c r="AF10">
        <v>8.97</v>
      </c>
      <c r="AG10">
        <v>7.39</v>
      </c>
      <c r="AH10">
        <v>9.69</v>
      </c>
      <c r="AI10">
        <v>12.07</v>
      </c>
      <c r="AJ10">
        <v>8.85</v>
      </c>
      <c r="AK10">
        <v>6.97</v>
      </c>
      <c r="AL10">
        <v>10.62</v>
      </c>
      <c r="AM10">
        <v>12.19</v>
      </c>
    </row>
    <row r="11" spans="2:39" ht="12.75">
      <c r="B11" s="72"/>
      <c r="C11" s="95" t="s">
        <v>11</v>
      </c>
      <c r="D11" s="87">
        <f>COUNT(Q11:EC11)</f>
        <v>23</v>
      </c>
      <c r="E11" s="115">
        <f>AVERAGE(Q11:EC11)</f>
        <v>337.03043478260867</v>
      </c>
      <c r="F11" s="115">
        <f t="shared" si="0"/>
        <v>104.08891535646632</v>
      </c>
      <c r="G11" s="115">
        <f>STDEV(Q11:EC11)</f>
        <v>254.69493594348697</v>
      </c>
      <c r="H11" s="115">
        <f>QUARTILE(Q11:EC11,2)</f>
        <v>264</v>
      </c>
      <c r="I11" s="115">
        <f>MIN(Q11:EC11)</f>
        <v>195</v>
      </c>
      <c r="J11" s="115">
        <f>MAX(Q11:EC11)</f>
        <v>1450</v>
      </c>
      <c r="K11" s="115">
        <f>PERCENTILE(Q11:EC11,0.95)</f>
        <v>556.6999999999998</v>
      </c>
      <c r="L11" s="105"/>
      <c r="N11" s="116" t="s">
        <v>93</v>
      </c>
      <c r="O11" s="108"/>
      <c r="P11" t="s">
        <v>93</v>
      </c>
      <c r="Q11">
        <v>246</v>
      </c>
      <c r="R11">
        <v>326.8</v>
      </c>
      <c r="S11">
        <v>1450</v>
      </c>
      <c r="T11">
        <v>295.9</v>
      </c>
      <c r="U11">
        <v>195</v>
      </c>
      <c r="V11">
        <v>410</v>
      </c>
      <c r="W11">
        <v>258</v>
      </c>
      <c r="X11">
        <v>306</v>
      </c>
      <c r="Y11">
        <v>318</v>
      </c>
      <c r="Z11">
        <v>573</v>
      </c>
      <c r="AA11">
        <v>266</v>
      </c>
      <c r="AB11">
        <v>251</v>
      </c>
      <c r="AC11">
        <v>250</v>
      </c>
      <c r="AD11">
        <v>226</v>
      </c>
      <c r="AE11">
        <v>204</v>
      </c>
      <c r="AF11">
        <v>291</v>
      </c>
      <c r="AG11">
        <v>308</v>
      </c>
      <c r="AH11">
        <v>264</v>
      </c>
      <c r="AI11">
        <v>223</v>
      </c>
      <c r="AJ11">
        <v>259</v>
      </c>
      <c r="AK11">
        <v>307</v>
      </c>
      <c r="AL11">
        <v>263</v>
      </c>
      <c r="AM11">
        <v>261</v>
      </c>
    </row>
    <row r="12" spans="2:39" ht="12.75">
      <c r="B12" s="68" t="s">
        <v>105</v>
      </c>
      <c r="C12" s="4" t="s">
        <v>12</v>
      </c>
      <c r="D12" s="81">
        <f>COUNT(Q12:EC12)</f>
        <v>23</v>
      </c>
      <c r="E12" s="82">
        <f>AVERAGE(Q12:EC12)</f>
        <v>7.019130434782608</v>
      </c>
      <c r="F12" s="82">
        <f t="shared" si="0"/>
        <v>2.138857093767299</v>
      </c>
      <c r="G12" s="82">
        <f>STDEV(Q12:EC12)</f>
        <v>5.233564675198558</v>
      </c>
      <c r="H12" s="82">
        <f>QUARTILE(Q12:EC12,2)</f>
        <v>5.76</v>
      </c>
      <c r="I12" s="82">
        <f>MIN(Q12:EC12)</f>
        <v>1.04</v>
      </c>
      <c r="J12" s="82">
        <f>MAX(Q12:EC12)</f>
        <v>18.6</v>
      </c>
      <c r="K12" s="82">
        <f>PERCENTILE(Q12:EC12,0.95)</f>
        <v>17.63</v>
      </c>
      <c r="L12" s="102" t="str">
        <f>IF(H12&lt;1,"A",IF(H12&lt;2,"B",IF(H12&lt;3,"C",IF(H12&lt;5,"D","E"))))</f>
        <v>E</v>
      </c>
      <c r="N12" s="116" t="s">
        <v>94</v>
      </c>
      <c r="O12" s="108"/>
      <c r="P12" t="s">
        <v>94</v>
      </c>
      <c r="Q12">
        <v>12.7</v>
      </c>
      <c r="R12">
        <v>2.88</v>
      </c>
      <c r="S12">
        <v>2.94</v>
      </c>
      <c r="T12">
        <v>1.04</v>
      </c>
      <c r="U12">
        <v>9.75</v>
      </c>
      <c r="V12">
        <v>8.71</v>
      </c>
      <c r="W12">
        <v>5.76</v>
      </c>
      <c r="X12">
        <v>6.55</v>
      </c>
      <c r="Y12">
        <v>3.06</v>
      </c>
      <c r="Z12">
        <v>9.33</v>
      </c>
      <c r="AA12">
        <v>2.52</v>
      </c>
      <c r="AB12">
        <v>3.25</v>
      </c>
      <c r="AC12">
        <v>2.8</v>
      </c>
      <c r="AD12">
        <v>18.6</v>
      </c>
      <c r="AE12">
        <v>10.6</v>
      </c>
      <c r="AF12">
        <v>1.99</v>
      </c>
      <c r="AG12">
        <v>2.35</v>
      </c>
      <c r="AH12">
        <v>2.64</v>
      </c>
      <c r="AI12">
        <v>16.1</v>
      </c>
      <c r="AJ12">
        <v>6.75</v>
      </c>
      <c r="AK12">
        <v>5.4</v>
      </c>
      <c r="AL12">
        <v>17.8</v>
      </c>
      <c r="AM12">
        <v>7.92</v>
      </c>
    </row>
    <row r="13" spans="2:39" ht="12.75">
      <c r="B13" s="71"/>
      <c r="C13" s="6" t="s">
        <v>13</v>
      </c>
      <c r="D13" s="81">
        <f>COUNT(Q13:EC13)</f>
        <v>22</v>
      </c>
      <c r="E13" s="44">
        <f>AVERAGE(Q13:EC13)</f>
        <v>1.075909090909091</v>
      </c>
      <c r="F13" s="44">
        <f t="shared" si="0"/>
        <v>0.22466021200150194</v>
      </c>
      <c r="G13" s="44">
        <f>STDEV(Q13:EC13)</f>
        <v>0.5376373276697743</v>
      </c>
      <c r="H13" s="44">
        <f>QUARTILE(Q13:EC13,2)</f>
        <v>1</v>
      </c>
      <c r="I13" s="44">
        <f>MIN(Q13:EC13)</f>
        <v>0.3</v>
      </c>
      <c r="J13" s="44">
        <f>MAX(Q13:EC13)</f>
        <v>1.9</v>
      </c>
      <c r="K13" s="44">
        <f>PERCENTILE(Q13:EC13,0.95)</f>
        <v>1.8975</v>
      </c>
      <c r="L13" s="102" t="str">
        <f>IF(H13&gt;6,"A",IF(H13&gt;4,"B",IF(H13&gt;2.5,"C",IF(H13&gt;0.6,"D","E"))))</f>
        <v>D</v>
      </c>
      <c r="N13" s="116" t="s">
        <v>13</v>
      </c>
      <c r="O13" s="108"/>
      <c r="P13" t="s">
        <v>13</v>
      </c>
      <c r="Q13">
        <v>0.55</v>
      </c>
      <c r="R13">
        <v>1.9</v>
      </c>
      <c r="S13">
        <v>1.3</v>
      </c>
      <c r="T13">
        <v>1.2</v>
      </c>
      <c r="U13">
        <v>0.8</v>
      </c>
      <c r="V13">
        <v>0.62</v>
      </c>
      <c r="W13">
        <v>1</v>
      </c>
      <c r="X13">
        <v>0.55</v>
      </c>
      <c r="Z13">
        <v>0.6</v>
      </c>
      <c r="AA13">
        <v>1.7</v>
      </c>
      <c r="AB13">
        <v>1.85</v>
      </c>
      <c r="AC13">
        <v>1.5</v>
      </c>
      <c r="AD13">
        <v>0.3</v>
      </c>
      <c r="AE13">
        <v>0.4</v>
      </c>
      <c r="AF13">
        <v>1.4</v>
      </c>
      <c r="AG13">
        <v>1.9</v>
      </c>
      <c r="AH13">
        <v>1.7</v>
      </c>
      <c r="AI13">
        <v>1</v>
      </c>
      <c r="AJ13">
        <v>0.75</v>
      </c>
      <c r="AK13">
        <v>1.5</v>
      </c>
      <c r="AL13">
        <v>0.4</v>
      </c>
      <c r="AM13">
        <v>0.75</v>
      </c>
    </row>
    <row r="14" spans="2:39" ht="12.75">
      <c r="B14" s="72"/>
      <c r="C14" s="95" t="s">
        <v>14</v>
      </c>
      <c r="D14" s="87">
        <f>COUNT(Q14:EC14)</f>
        <v>23</v>
      </c>
      <c r="E14" s="115">
        <f>AVERAGE(Q14:EC14)</f>
        <v>10.869565217391305</v>
      </c>
      <c r="F14" s="115">
        <f t="shared" si="0"/>
        <v>7.577198200646445</v>
      </c>
      <c r="G14" s="115">
        <f>STDEV(Q14:EC14)</f>
        <v>18.540629458339932</v>
      </c>
      <c r="H14" s="115">
        <f>QUARTILE(Q14:EC14,2)</f>
        <v>5</v>
      </c>
      <c r="I14" s="115">
        <f>MIN(Q14:EC14)</f>
        <v>1</v>
      </c>
      <c r="J14" s="115">
        <f>MAX(Q14:EC14)</f>
        <v>91</v>
      </c>
      <c r="K14" s="115">
        <f>PERCENTILE(Q14:EC14,0.95)</f>
        <v>23.599999999999994</v>
      </c>
      <c r="L14" s="102"/>
      <c r="N14" s="116" t="s">
        <v>95</v>
      </c>
      <c r="O14" s="108"/>
      <c r="P14" t="s">
        <v>95</v>
      </c>
      <c r="Q14">
        <v>9</v>
      </c>
      <c r="R14">
        <v>4</v>
      </c>
      <c r="S14">
        <v>91</v>
      </c>
      <c r="T14">
        <v>2</v>
      </c>
      <c r="U14">
        <v>9</v>
      </c>
      <c r="V14">
        <v>7</v>
      </c>
      <c r="W14">
        <v>4</v>
      </c>
      <c r="X14">
        <v>5</v>
      </c>
      <c r="Y14">
        <v>10</v>
      </c>
      <c r="Z14">
        <v>20</v>
      </c>
      <c r="AA14">
        <v>2</v>
      </c>
      <c r="AB14">
        <v>2</v>
      </c>
      <c r="AC14">
        <v>4</v>
      </c>
      <c r="AD14">
        <v>11</v>
      </c>
      <c r="AE14">
        <v>8</v>
      </c>
      <c r="AF14">
        <v>1</v>
      </c>
      <c r="AG14">
        <v>2</v>
      </c>
      <c r="AH14">
        <v>3</v>
      </c>
      <c r="AI14">
        <v>24</v>
      </c>
      <c r="AJ14">
        <v>3</v>
      </c>
      <c r="AK14">
        <v>3</v>
      </c>
      <c r="AL14">
        <v>19</v>
      </c>
      <c r="AM14">
        <v>7</v>
      </c>
    </row>
    <row r="15" spans="2:39" ht="12.75">
      <c r="B15" s="208" t="s">
        <v>267</v>
      </c>
      <c r="C15" s="8" t="s">
        <v>268</v>
      </c>
      <c r="D15" s="81">
        <f>COUNT(Q15:EC15)</f>
        <v>23</v>
      </c>
      <c r="E15" s="40">
        <f>AVERAGE(Q15:EC15)</f>
        <v>2595.217391304348</v>
      </c>
      <c r="F15" s="40">
        <f>CONFIDENCE(0.05,G15,D15)</f>
        <v>986.3898942533565</v>
      </c>
      <c r="G15" s="40">
        <f>STDEV(Q15:EC15)</f>
        <v>2413.595242795989</v>
      </c>
      <c r="H15" s="40">
        <f>QUARTILE(Q15:EC15,2)</f>
        <v>2000</v>
      </c>
      <c r="I15" s="40">
        <f>MIN(Q15:EC15)</f>
        <v>5</v>
      </c>
      <c r="J15" s="40">
        <f>MAX(Q15:EC15)</f>
        <v>8800</v>
      </c>
      <c r="K15" s="40">
        <f>PERCENTILE(Q15:EC15,0.95)</f>
        <v>7879.999999999995</v>
      </c>
      <c r="L15" s="106" t="str">
        <f>IF(H15&lt;10,"A",IF(H15&lt;130,"B",IF(H15&lt;260,"C",IF(H15&lt;550,"D","E"))))</f>
        <v>E</v>
      </c>
      <c r="N15" s="116" t="s">
        <v>255</v>
      </c>
      <c r="O15" s="108"/>
      <c r="P15" t="s">
        <v>255</v>
      </c>
      <c r="Q15">
        <v>820</v>
      </c>
      <c r="R15">
        <v>2000</v>
      </c>
      <c r="S15">
        <v>150</v>
      </c>
      <c r="T15">
        <v>3000</v>
      </c>
      <c r="U15">
        <v>1900</v>
      </c>
      <c r="V15">
        <v>8200</v>
      </c>
      <c r="W15">
        <v>1900</v>
      </c>
      <c r="X15">
        <v>4600</v>
      </c>
      <c r="Y15">
        <v>5</v>
      </c>
      <c r="Z15">
        <v>8800</v>
      </c>
      <c r="AA15">
        <v>330</v>
      </c>
      <c r="AB15">
        <v>2100</v>
      </c>
      <c r="AC15">
        <v>380</v>
      </c>
      <c r="AD15">
        <v>5000</v>
      </c>
      <c r="AE15">
        <v>1000</v>
      </c>
      <c r="AF15">
        <v>4100</v>
      </c>
      <c r="AG15">
        <v>4700</v>
      </c>
      <c r="AH15">
        <v>5</v>
      </c>
      <c r="AI15">
        <v>2500</v>
      </c>
      <c r="AJ15">
        <v>3500</v>
      </c>
      <c r="AK15">
        <v>2300</v>
      </c>
      <c r="AL15">
        <v>1400</v>
      </c>
      <c r="AM15">
        <v>1000</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77.58733333333333</v>
      </c>
      <c r="F17" s="44">
        <f t="shared" si="0"/>
        <v>7.028421131932545</v>
      </c>
      <c r="G17" s="44">
        <f>STDEV(Q17:EC17)</f>
        <v>8.783858074141806</v>
      </c>
      <c r="H17" s="44">
        <f>QUARTILE(Q17:EC17,2)</f>
        <v>74.5</v>
      </c>
      <c r="I17" s="44">
        <f>MIN(Q17:EC17)</f>
        <v>68</v>
      </c>
      <c r="J17" s="44">
        <f>MAX(Q17:EC17)</f>
        <v>89.524</v>
      </c>
      <c r="K17" s="44">
        <f>PERCENTILE(Q17:EC17,0.95)</f>
        <v>88.893</v>
      </c>
      <c r="L17" s="102" t="str">
        <f>IF(H17&gt;120,"A",IF(H17&gt;100,"B",IF(H17&gt;80,"C",IF(H17&gt;60,"D","E"))))</f>
        <v>D</v>
      </c>
      <c r="N17" s="116" t="s">
        <v>17</v>
      </c>
      <c r="O17" s="108"/>
      <c r="P17" t="s">
        <v>17</v>
      </c>
      <c r="Q17">
        <v>72</v>
      </c>
      <c r="U17">
        <v>77</v>
      </c>
      <c r="X17">
        <v>68</v>
      </c>
      <c r="AB17">
        <v>72</v>
      </c>
      <c r="AF17">
        <v>87</v>
      </c>
      <c r="AJ17">
        <v>89.524</v>
      </c>
    </row>
    <row r="18" spans="2:36" ht="12.75">
      <c r="B18" s="74"/>
      <c r="C18" s="96" t="s">
        <v>18</v>
      </c>
      <c r="D18" s="81">
        <f>COUNT(Q18:EC18)</f>
        <v>6</v>
      </c>
      <c r="E18" s="44">
        <f>AVERAGE(Q18:EC18)</f>
        <v>3.9175</v>
      </c>
      <c r="F18" s="44">
        <f t="shared" si="0"/>
        <v>0.3569229311057381</v>
      </c>
      <c r="G18" s="44">
        <f>STDEV(Q18:EC18)</f>
        <v>0.44606894086004334</v>
      </c>
      <c r="H18" s="44">
        <f>QUARTILE(Q18:EC18,2)</f>
        <v>3.805</v>
      </c>
      <c r="I18" s="44">
        <f>MIN(Q18:EC18)</f>
        <v>3.495</v>
      </c>
      <c r="J18" s="44">
        <f>MAX(Q18:EC18)</f>
        <v>4.56</v>
      </c>
      <c r="K18" s="44">
        <f>PERCENTILE(Q18:EC18,0.95)</f>
        <v>4.5024999999999995</v>
      </c>
      <c r="L18" s="105" t="str">
        <f>IF(H18&gt;6,"A",IF(H18&gt;5,"B",IF(H18&gt;4,"C",IF(H18&gt;3,"D","E"))))</f>
        <v>D</v>
      </c>
      <c r="N18" s="116" t="s">
        <v>18</v>
      </c>
      <c r="O18" s="108"/>
      <c r="P18" t="s">
        <v>18</v>
      </c>
      <c r="Q18">
        <v>3.95</v>
      </c>
      <c r="U18">
        <v>3.51</v>
      </c>
      <c r="X18">
        <v>4.33</v>
      </c>
      <c r="AB18">
        <v>3.66</v>
      </c>
      <c r="AF18">
        <v>4.56</v>
      </c>
      <c r="AJ18">
        <v>3.495</v>
      </c>
    </row>
    <row r="19" spans="2:36" ht="12.75">
      <c r="B19" s="71" t="s">
        <v>106</v>
      </c>
      <c r="C19" s="7" t="s">
        <v>19</v>
      </c>
      <c r="D19" s="86">
        <f>COUNT(Q19:EC19)</f>
        <v>7</v>
      </c>
      <c r="E19" s="113">
        <f>AVERAGE(Q19:EC19)</f>
        <v>4.5288571428571425</v>
      </c>
      <c r="F19" s="113">
        <f t="shared" si="0"/>
        <v>2.840438218190973</v>
      </c>
      <c r="G19" s="113">
        <f>STDEV(Q19:EC19)</f>
        <v>3.8343016499562403</v>
      </c>
      <c r="H19" s="113">
        <f>QUARTILE(Q19:EC19,2)</f>
        <v>2.4</v>
      </c>
      <c r="I19" s="113">
        <f>MIN(Q19:EC19)</f>
        <v>1</v>
      </c>
      <c r="J19" s="113">
        <f>MAX(Q19:EC19)</f>
        <v>9.6</v>
      </c>
      <c r="K19" s="113">
        <f>PERCENTILE(Q19:EC19,0.95)</f>
        <v>9.4686</v>
      </c>
      <c r="L19" s="102" t="str">
        <f>IF(H19&gt;8,"A",IF(H19&gt;6,"B",IF(H19&gt;4,"C",IF(H19&gt;2,"D","E"))))</f>
        <v>D</v>
      </c>
      <c r="N19" s="116" t="s">
        <v>96</v>
      </c>
      <c r="O19" s="108"/>
      <c r="P19" t="s">
        <v>96</v>
      </c>
      <c r="R19">
        <v>1</v>
      </c>
      <c r="S19">
        <v>1.42</v>
      </c>
      <c r="T19">
        <v>1.42</v>
      </c>
      <c r="X19">
        <v>2.4</v>
      </c>
      <c r="AB19">
        <v>6.7</v>
      </c>
      <c r="AF19">
        <v>9.6</v>
      </c>
      <c r="AJ19">
        <v>9.162</v>
      </c>
    </row>
    <row r="20" spans="2:36" ht="12.75">
      <c r="B20" s="72"/>
      <c r="C20" s="97" t="s">
        <v>122</v>
      </c>
      <c r="D20" s="87">
        <f>COUNT(Q20:EC20)</f>
        <v>4</v>
      </c>
      <c r="E20" s="114">
        <f>AVERAGE(Q20:EC20)</f>
        <v>4.025</v>
      </c>
      <c r="F20" s="114">
        <f t="shared" si="0"/>
        <v>5.244735080815128</v>
      </c>
      <c r="G20" s="114">
        <f>STDEV(Q20:EC20)</f>
        <v>5.351868832473382</v>
      </c>
      <c r="H20" s="114">
        <f>QUARTILE(Q20:EC20,2)</f>
        <v>2.4</v>
      </c>
      <c r="I20" s="114">
        <f>MIN(Q20:EC20)</f>
        <v>0</v>
      </c>
      <c r="J20" s="114">
        <f>MAX(Q20:EC20)</f>
        <v>11.3</v>
      </c>
      <c r="K20" s="114">
        <f>PERCENTILE(Q20:EC20,0.95)</f>
        <v>10.325</v>
      </c>
      <c r="L20" s="105"/>
      <c r="N20" s="116" t="s">
        <v>97</v>
      </c>
      <c r="O20" s="108"/>
      <c r="P20" t="s">
        <v>97</v>
      </c>
      <c r="X20">
        <v>4.8</v>
      </c>
      <c r="AB20">
        <v>11.3</v>
      </c>
      <c r="AF20">
        <v>0</v>
      </c>
      <c r="AJ20">
        <v>0</v>
      </c>
    </row>
    <row r="21" spans="2:17" ht="12.75">
      <c r="B21" s="71" t="s">
        <v>112</v>
      </c>
      <c r="C21" s="7" t="s">
        <v>21</v>
      </c>
      <c r="D21" s="81">
        <v>3</v>
      </c>
      <c r="E21" s="82">
        <v>0.3166666666666667</v>
      </c>
      <c r="F21" s="82"/>
      <c r="G21" s="82"/>
      <c r="H21" s="82"/>
      <c r="I21" s="82">
        <v>0.05</v>
      </c>
      <c r="J21" s="82">
        <v>0.8</v>
      </c>
      <c r="K21" s="82"/>
      <c r="L21" s="169" t="str">
        <f>IF(E21&gt;=H34,"E","A - D")</f>
        <v>A - D</v>
      </c>
      <c r="O21" s="108"/>
      <c r="Q21" s="64"/>
    </row>
    <row r="22" spans="2:15" ht="12.75">
      <c r="B22" s="73" t="s">
        <v>111</v>
      </c>
      <c r="C22" s="9" t="s">
        <v>22</v>
      </c>
      <c r="D22" s="81">
        <v>3</v>
      </c>
      <c r="E22" s="82">
        <v>26</v>
      </c>
      <c r="F22" s="82"/>
      <c r="G22" s="82"/>
      <c r="H22" s="82"/>
      <c r="I22" s="82">
        <v>25</v>
      </c>
      <c r="J22" s="82">
        <v>27</v>
      </c>
      <c r="K22" s="82"/>
      <c r="L22" s="169" t="str">
        <f>IF(E22&gt;=H35,"E","A - D")</f>
        <v>A - D</v>
      </c>
      <c r="N22" s="111"/>
      <c r="O22" s="108"/>
    </row>
    <row r="23" spans="2:15" ht="12.75">
      <c r="B23" s="73"/>
      <c r="C23" s="9" t="s">
        <v>23</v>
      </c>
      <c r="D23" s="81">
        <v>3</v>
      </c>
      <c r="E23" s="82">
        <v>15.666666666666666</v>
      </c>
      <c r="F23" s="82"/>
      <c r="G23" s="82"/>
      <c r="H23" s="82"/>
      <c r="I23" s="82">
        <v>13</v>
      </c>
      <c r="J23" s="82">
        <v>19</v>
      </c>
      <c r="K23" s="82"/>
      <c r="L23" s="169" t="str">
        <f>IF(E23&gt;=H36,"E","A - D")</f>
        <v>A - D</v>
      </c>
      <c r="N23" s="111"/>
      <c r="O23" s="108"/>
    </row>
    <row r="24" spans="2:15" ht="12.75">
      <c r="B24" s="73"/>
      <c r="C24" s="9" t="s">
        <v>24</v>
      </c>
      <c r="D24" s="81">
        <v>3</v>
      </c>
      <c r="E24" s="82">
        <v>94.66666666666667</v>
      </c>
      <c r="F24" s="82"/>
      <c r="G24" s="82"/>
      <c r="H24" s="82"/>
      <c r="I24" s="82">
        <v>84</v>
      </c>
      <c r="J24" s="82">
        <v>100</v>
      </c>
      <c r="K24" s="82"/>
      <c r="L24" s="169" t="str">
        <f>IF(E24&gt;=H37,"E","A - D")</f>
        <v>A - D</v>
      </c>
      <c r="N24" s="111"/>
      <c r="O24" s="108"/>
    </row>
    <row r="25" spans="2:15" ht="13.5" thickBot="1">
      <c r="B25" s="75"/>
      <c r="C25" s="98"/>
      <c r="D25" s="83"/>
      <c r="E25" s="84"/>
      <c r="F25" s="84"/>
      <c r="G25" s="84"/>
      <c r="H25" s="84"/>
      <c r="I25" s="84"/>
      <c r="J25" s="84"/>
      <c r="K25" s="84"/>
      <c r="L25" s="91"/>
      <c r="O25" s="108"/>
    </row>
    <row r="26" spans="2:15" ht="12.75">
      <c r="B26" s="80"/>
      <c r="C26" s="89"/>
      <c r="D26" s="89"/>
      <c r="E26" s="89"/>
      <c r="F26" s="89"/>
      <c r="G26" s="89"/>
      <c r="H26" s="89"/>
      <c r="I26" s="89"/>
      <c r="J26" s="89"/>
      <c r="K26" s="89"/>
      <c r="L26" s="100"/>
      <c r="O26" s="108"/>
    </row>
    <row r="27" spans="2:15" ht="12.75">
      <c r="B27" s="210" t="s">
        <v>119</v>
      </c>
      <c r="C27" s="211"/>
      <c r="D27" s="211"/>
      <c r="E27" s="211"/>
      <c r="F27" s="211"/>
      <c r="G27" s="76" t="str">
        <f>'Combined Score Calcs'!F10</f>
        <v>E</v>
      </c>
      <c r="H27" s="39"/>
      <c r="I27" s="39"/>
      <c r="J27" s="39"/>
      <c r="K27" s="99"/>
      <c r="L27" s="90"/>
      <c r="O27" s="108"/>
    </row>
    <row r="28" spans="2:15" ht="13.5" thickBot="1">
      <c r="B28" s="83"/>
      <c r="C28" s="84"/>
      <c r="D28" s="84"/>
      <c r="E28" s="84"/>
      <c r="F28" s="84"/>
      <c r="G28" s="84"/>
      <c r="H28" s="84"/>
      <c r="I28" s="84"/>
      <c r="J28" s="84"/>
      <c r="K28" s="84"/>
      <c r="L28" s="91"/>
      <c r="O28" s="108"/>
    </row>
    <row r="29" spans="12:15" ht="12.75">
      <c r="L29" s="60"/>
      <c r="O29" s="108"/>
    </row>
    <row r="30" ht="12.75">
      <c r="L30" s="60"/>
    </row>
    <row r="31" ht="12.75">
      <c r="L31" s="60"/>
    </row>
    <row r="32" ht="12.75">
      <c r="L32" s="60"/>
    </row>
    <row r="33" spans="7:12" ht="12.75">
      <c r="G33" t="s">
        <v>140</v>
      </c>
      <c r="H33" t="s">
        <v>141</v>
      </c>
      <c r="L33" s="60"/>
    </row>
    <row r="34" spans="5:12" ht="12.75">
      <c r="E34" s="158"/>
      <c r="F34" s="153"/>
      <c r="G34" s="118" t="s">
        <v>21</v>
      </c>
      <c r="H34" s="136">
        <v>1.5</v>
      </c>
      <c r="I34" s="137">
        <v>10</v>
      </c>
      <c r="J34" s="119"/>
      <c r="K34" s="119"/>
      <c r="L34" s="60"/>
    </row>
    <row r="35" spans="5:12" ht="12.75">
      <c r="E35" s="158"/>
      <c r="F35" s="153"/>
      <c r="G35" s="122" t="s">
        <v>22</v>
      </c>
      <c r="H35" s="137">
        <v>65</v>
      </c>
      <c r="I35" s="137">
        <v>270</v>
      </c>
      <c r="J35" s="119"/>
      <c r="K35" s="119"/>
      <c r="L35" s="60"/>
    </row>
    <row r="36" spans="5:12" ht="12.75">
      <c r="E36" s="158"/>
      <c r="F36" s="153"/>
      <c r="G36" s="122" t="s">
        <v>23</v>
      </c>
      <c r="H36" s="137">
        <v>50</v>
      </c>
      <c r="I36" s="137">
        <v>220</v>
      </c>
      <c r="J36" s="119"/>
      <c r="K36" s="119"/>
      <c r="L36" s="60"/>
    </row>
    <row r="37" spans="5:12" ht="12.75">
      <c r="E37" s="158"/>
      <c r="F37" s="153"/>
      <c r="G37" s="122" t="s">
        <v>24</v>
      </c>
      <c r="H37" s="137">
        <v>200</v>
      </c>
      <c r="I37" s="137">
        <v>210</v>
      </c>
      <c r="J37" s="119"/>
      <c r="K37" s="119"/>
      <c r="L37" s="60"/>
    </row>
    <row r="38" spans="7:12" ht="12.75">
      <c r="G38" s="122"/>
      <c r="H38" t="s">
        <v>137</v>
      </c>
      <c r="I38" t="s">
        <v>138</v>
      </c>
      <c r="L38" s="60"/>
    </row>
    <row r="39" ht="12.75">
      <c r="L39" s="60"/>
    </row>
    <row r="40" ht="12.75">
      <c r="L40" s="60"/>
    </row>
    <row r="41" ht="12.75">
      <c r="L41" s="60"/>
    </row>
    <row r="42" ht="12.75">
      <c r="L42" s="60"/>
    </row>
    <row r="43" ht="12.75">
      <c r="L43" s="60"/>
    </row>
    <row r="44" ht="12.75">
      <c r="L44" s="60"/>
    </row>
    <row r="45" ht="12.75">
      <c r="L45" s="60"/>
    </row>
    <row r="46" ht="12.75">
      <c r="L46" s="60"/>
    </row>
    <row r="47" ht="12.75">
      <c r="L47" s="60"/>
    </row>
  </sheetData>
  <mergeCells count="1">
    <mergeCell ref="B27:F27"/>
  </mergeCells>
  <printOptions/>
  <pageMargins left="0.75" right="0.75" top="1" bottom="1" header="0.5" footer="0.5"/>
  <pageSetup horizontalDpi="600" verticalDpi="600" orientation="portrait" paperSize="133" r:id="rId1"/>
</worksheet>
</file>

<file path=xl/worksheets/sheet28.xml><?xml version="1.0" encoding="utf-8"?>
<worksheet xmlns="http://schemas.openxmlformats.org/spreadsheetml/2006/main" xmlns:r="http://schemas.openxmlformats.org/officeDocument/2006/relationships">
  <dimension ref="B2:HV2"/>
  <sheetViews>
    <sheetView zoomScale="70" zoomScaleNormal="70" workbookViewId="0" topLeftCell="A1">
      <selection activeCell="P54" sqref="P54"/>
    </sheetView>
  </sheetViews>
  <sheetFormatPr defaultColWidth="9.140625" defaultRowHeight="12.75"/>
  <sheetData>
    <row r="2" spans="2:230" ht="12.75">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EE228"/>
  <sheetViews>
    <sheetView zoomScale="90" zoomScaleNormal="90" workbookViewId="0" topLeftCell="B1">
      <selection activeCell="AJ20" sqref="AJ20"/>
    </sheetView>
  </sheetViews>
  <sheetFormatPr defaultColWidth="9.140625" defaultRowHeight="12.75"/>
  <cols>
    <col min="1" max="2" width="4.7109375" style="0" customWidth="1"/>
    <col min="3" max="3" width="6.57421875" style="0" customWidth="1"/>
    <col min="4" max="4" width="12.8515625" style="31" customWidth="1"/>
    <col min="5" max="5" width="12.00390625" style="0" customWidth="1"/>
    <col min="6" max="32" width="5.7109375" style="0" customWidth="1"/>
    <col min="37" max="37" width="11.57421875" style="0" bestFit="1" customWidth="1"/>
  </cols>
  <sheetData>
    <row r="1" spans="4:33" ht="12.75">
      <c r="D1" s="27"/>
      <c r="F1" s="34" t="s">
        <v>25</v>
      </c>
      <c r="G1" s="34" t="s">
        <v>45</v>
      </c>
      <c r="H1" s="34" t="s">
        <v>46</v>
      </c>
      <c r="I1" s="34" t="s">
        <v>47</v>
      </c>
      <c r="J1" s="34" t="s">
        <v>48</v>
      </c>
      <c r="K1" s="34" t="s">
        <v>49</v>
      </c>
      <c r="L1" s="34" t="s">
        <v>50</v>
      </c>
      <c r="M1" s="34" t="s">
        <v>51</v>
      </c>
      <c r="N1" s="34" t="s">
        <v>52</v>
      </c>
      <c r="O1" s="34" t="s">
        <v>53</v>
      </c>
      <c r="P1" s="34" t="s">
        <v>54</v>
      </c>
      <c r="Q1" s="34" t="s">
        <v>55</v>
      </c>
      <c r="R1" s="34" t="s">
        <v>56</v>
      </c>
      <c r="S1" s="34" t="s">
        <v>57</v>
      </c>
      <c r="T1" s="34" t="s">
        <v>58</v>
      </c>
      <c r="U1" s="34" t="s">
        <v>59</v>
      </c>
      <c r="V1" s="34" t="s">
        <v>60</v>
      </c>
      <c r="W1" s="34" t="s">
        <v>61</v>
      </c>
      <c r="X1" s="34" t="s">
        <v>62</v>
      </c>
      <c r="Y1" s="34" t="s">
        <v>63</v>
      </c>
      <c r="Z1" s="34" t="s">
        <v>64</v>
      </c>
      <c r="AA1" s="34" t="s">
        <v>65</v>
      </c>
      <c r="AB1" s="34" t="s">
        <v>66</v>
      </c>
      <c r="AC1" s="34" t="s">
        <v>67</v>
      </c>
      <c r="AD1" s="34" t="s">
        <v>68</v>
      </c>
      <c r="AE1" s="34" t="s">
        <v>69</v>
      </c>
      <c r="AF1" s="34" t="s">
        <v>70</v>
      </c>
      <c r="AG1" s="35"/>
    </row>
    <row r="2" spans="4:32" ht="41.25">
      <c r="D2" s="27"/>
      <c r="F2" s="36" t="s">
        <v>166</v>
      </c>
      <c r="G2" s="36" t="s">
        <v>166</v>
      </c>
      <c r="H2" s="36" t="s">
        <v>166</v>
      </c>
      <c r="I2" s="36" t="s">
        <v>166</v>
      </c>
      <c r="J2" s="36" t="s">
        <v>166</v>
      </c>
      <c r="K2" s="36" t="s">
        <v>166</v>
      </c>
      <c r="L2" s="36" t="s">
        <v>166</v>
      </c>
      <c r="M2" s="36" t="s">
        <v>166</v>
      </c>
      <c r="N2" s="36" t="s">
        <v>166</v>
      </c>
      <c r="O2" s="36" t="s">
        <v>166</v>
      </c>
      <c r="P2" s="36" t="s">
        <v>166</v>
      </c>
      <c r="Q2" s="36" t="s">
        <v>166</v>
      </c>
      <c r="R2" s="36" t="s">
        <v>166</v>
      </c>
      <c r="S2" s="36" t="s">
        <v>166</v>
      </c>
      <c r="T2" s="36" t="s">
        <v>166</v>
      </c>
      <c r="U2" s="36" t="s">
        <v>166</v>
      </c>
      <c r="V2" s="36" t="s">
        <v>166</v>
      </c>
      <c r="W2" s="36" t="s">
        <v>166</v>
      </c>
      <c r="X2" s="36" t="s">
        <v>166</v>
      </c>
      <c r="Y2" s="36" t="s">
        <v>166</v>
      </c>
      <c r="Z2" s="36" t="s">
        <v>166</v>
      </c>
      <c r="AA2" s="36" t="s">
        <v>166</v>
      </c>
      <c r="AB2" s="36" t="s">
        <v>166</v>
      </c>
      <c r="AC2" s="36" t="s">
        <v>166</v>
      </c>
      <c r="AD2" s="36" t="s">
        <v>166</v>
      </c>
      <c r="AE2" s="36" t="s">
        <v>166</v>
      </c>
      <c r="AF2" s="36" t="s">
        <v>166</v>
      </c>
    </row>
    <row r="3" spans="4:32" ht="12.75">
      <c r="D3" s="27" t="s">
        <v>75</v>
      </c>
      <c r="F3" s="33" t="str">
        <f aca="true" t="shared" si="0" ref="F3:U3">F21</f>
        <v>E</v>
      </c>
      <c r="G3" s="33" t="str">
        <f t="shared" si="0"/>
        <v>D</v>
      </c>
      <c r="H3" s="33" t="str">
        <f t="shared" si="0"/>
        <v>B</v>
      </c>
      <c r="I3" s="33" t="str">
        <f t="shared" si="0"/>
        <v>D</v>
      </c>
      <c r="J3" s="33" t="str">
        <f t="shared" si="0"/>
        <v>D</v>
      </c>
      <c r="K3" s="33" t="str">
        <f t="shared" si="0"/>
        <v>D</v>
      </c>
      <c r="L3" s="33" t="str">
        <f t="shared" si="0"/>
        <v>D</v>
      </c>
      <c r="M3" s="33" t="str">
        <f t="shared" si="0"/>
        <v>D</v>
      </c>
      <c r="N3" s="33" t="str">
        <f t="shared" si="0"/>
        <v>B</v>
      </c>
      <c r="O3" s="33" t="str">
        <f t="shared" si="0"/>
        <v>D</v>
      </c>
      <c r="P3" s="33" t="str">
        <f t="shared" si="0"/>
        <v>A</v>
      </c>
      <c r="Q3" s="33" t="str">
        <f t="shared" si="0"/>
        <v>B</v>
      </c>
      <c r="R3" s="33" t="str">
        <f t="shared" si="0"/>
        <v>C</v>
      </c>
      <c r="S3" s="33" t="str">
        <f t="shared" si="0"/>
        <v>C</v>
      </c>
      <c r="T3" s="33" t="str">
        <f t="shared" si="0"/>
        <v>C</v>
      </c>
      <c r="U3" s="33" t="str">
        <f t="shared" si="0"/>
        <v>B</v>
      </c>
      <c r="V3" s="33" t="str">
        <f aca="true" t="shared" si="1" ref="V3:AF3">V21</f>
        <v>B</v>
      </c>
      <c r="W3" s="33" t="str">
        <f t="shared" si="1"/>
        <v>C</v>
      </c>
      <c r="X3" s="33" t="str">
        <f t="shared" si="1"/>
        <v>B</v>
      </c>
      <c r="Y3" s="33" t="str">
        <f t="shared" si="1"/>
        <v>D</v>
      </c>
      <c r="Z3" s="33" t="str">
        <f t="shared" si="1"/>
        <v>D</v>
      </c>
      <c r="AA3" s="33" t="str">
        <f t="shared" si="1"/>
        <v>B</v>
      </c>
      <c r="AB3" s="33" t="str">
        <f t="shared" si="1"/>
        <v>B</v>
      </c>
      <c r="AC3" s="33" t="str">
        <f t="shared" si="1"/>
        <v>B</v>
      </c>
      <c r="AD3" s="33" t="str">
        <f t="shared" si="1"/>
        <v>B</v>
      </c>
      <c r="AE3" s="33" t="str">
        <f t="shared" si="1"/>
        <v>C</v>
      </c>
      <c r="AF3" s="33" t="str">
        <f t="shared" si="1"/>
        <v>C</v>
      </c>
    </row>
    <row r="4" spans="4:32" ht="12.75">
      <c r="D4" s="27" t="s">
        <v>73</v>
      </c>
      <c r="E4" s="14">
        <f aca="true" t="shared" si="2" ref="E4:T4">SUM(E148:E186)</f>
        <v>0</v>
      </c>
      <c r="F4" s="33">
        <f t="shared" si="2"/>
        <v>11.5</v>
      </c>
      <c r="G4" s="33">
        <f t="shared" si="2"/>
        <v>11.5</v>
      </c>
      <c r="H4" s="33">
        <f t="shared" si="2"/>
        <v>12.487999999999996</v>
      </c>
      <c r="I4" s="33">
        <f t="shared" si="2"/>
        <v>12.487999999999996</v>
      </c>
      <c r="J4" s="33">
        <f t="shared" si="2"/>
        <v>12.487999999999996</v>
      </c>
      <c r="K4" s="33">
        <f t="shared" si="2"/>
        <v>12.487999999999996</v>
      </c>
      <c r="L4" s="33">
        <f t="shared" si="2"/>
        <v>10.5</v>
      </c>
      <c r="M4" s="33">
        <f t="shared" si="2"/>
        <v>10.5</v>
      </c>
      <c r="N4" s="33">
        <f t="shared" si="2"/>
        <v>12.487999999999996</v>
      </c>
      <c r="O4" s="33">
        <f t="shared" si="2"/>
        <v>12.487999999999996</v>
      </c>
      <c r="P4" s="33">
        <f t="shared" si="2"/>
        <v>11.5</v>
      </c>
      <c r="Q4" s="33">
        <f t="shared" si="2"/>
        <v>11.5</v>
      </c>
      <c r="R4" s="33">
        <f t="shared" si="2"/>
        <v>12.487999999999996</v>
      </c>
      <c r="S4" s="33">
        <f t="shared" si="2"/>
        <v>10.5</v>
      </c>
      <c r="T4" s="33">
        <f t="shared" si="2"/>
        <v>10.5</v>
      </c>
      <c r="U4" s="33">
        <f aca="true" t="shared" si="3" ref="U4:AF4">SUM(U148:U186)</f>
        <v>10.5</v>
      </c>
      <c r="V4" s="33">
        <f t="shared" si="3"/>
        <v>10.5</v>
      </c>
      <c r="W4" s="33">
        <f t="shared" si="3"/>
        <v>10.5</v>
      </c>
      <c r="X4" s="33">
        <f t="shared" si="3"/>
        <v>10.5</v>
      </c>
      <c r="Y4" s="33">
        <f t="shared" si="3"/>
        <v>10.5</v>
      </c>
      <c r="Z4" s="33">
        <f t="shared" si="3"/>
        <v>10.5</v>
      </c>
      <c r="AA4" s="33">
        <f t="shared" si="3"/>
        <v>10.5</v>
      </c>
      <c r="AB4" s="33">
        <f t="shared" si="3"/>
        <v>10.5</v>
      </c>
      <c r="AC4" s="33">
        <f t="shared" si="3"/>
        <v>10.5</v>
      </c>
      <c r="AD4" s="33">
        <f t="shared" si="3"/>
        <v>10.5</v>
      </c>
      <c r="AE4" s="33">
        <f t="shared" si="3"/>
        <v>10.5</v>
      </c>
      <c r="AF4" s="33">
        <f t="shared" si="3"/>
        <v>10.5</v>
      </c>
    </row>
    <row r="5" spans="4:32" ht="13.5" thickBot="1">
      <c r="D5" s="27" t="s">
        <v>74</v>
      </c>
      <c r="F5" s="37">
        <f aca="true" t="shared" si="4" ref="F5:U5">SUM(F188:F226)</f>
        <v>363.5</v>
      </c>
      <c r="G5" s="37">
        <f t="shared" si="4"/>
        <v>133.5</v>
      </c>
      <c r="H5" s="37">
        <f t="shared" si="4"/>
        <v>87.88400000000003</v>
      </c>
      <c r="I5" s="37">
        <f t="shared" si="4"/>
        <v>335.43999999999977</v>
      </c>
      <c r="J5" s="37">
        <f t="shared" si="4"/>
        <v>255.02000000000004</v>
      </c>
      <c r="K5" s="37">
        <f t="shared" si="4"/>
        <v>275.82800000000003</v>
      </c>
      <c r="L5" s="37">
        <f t="shared" si="4"/>
        <v>131.5</v>
      </c>
      <c r="M5" s="37">
        <f t="shared" si="4"/>
        <v>195.5</v>
      </c>
      <c r="N5" s="37">
        <f t="shared" si="4"/>
        <v>22.46399999999999</v>
      </c>
      <c r="O5" s="37">
        <f t="shared" si="4"/>
        <v>137.27599999999998</v>
      </c>
      <c r="P5" s="37">
        <f t="shared" si="4"/>
        <v>14.5</v>
      </c>
      <c r="Q5" s="37">
        <f t="shared" si="4"/>
        <v>99.5</v>
      </c>
      <c r="R5" s="37">
        <f t="shared" si="4"/>
        <v>168.0279999999999</v>
      </c>
      <c r="S5" s="37">
        <f t="shared" si="4"/>
        <v>107.5</v>
      </c>
      <c r="T5" s="37">
        <f t="shared" si="4"/>
        <v>26.5</v>
      </c>
      <c r="U5" s="37">
        <f t="shared" si="4"/>
        <v>14.5</v>
      </c>
      <c r="V5" s="37">
        <f aca="true" t="shared" si="5" ref="V5:AF5">SUM(V188:V226)</f>
        <v>15.5</v>
      </c>
      <c r="W5" s="37">
        <f t="shared" si="5"/>
        <v>61.5</v>
      </c>
      <c r="X5" s="37">
        <f t="shared" si="5"/>
        <v>25.5</v>
      </c>
      <c r="Y5" s="37">
        <f t="shared" si="5"/>
        <v>50.5</v>
      </c>
      <c r="Z5" s="37">
        <f t="shared" si="5"/>
        <v>74.5</v>
      </c>
      <c r="AA5" s="37">
        <f t="shared" si="5"/>
        <v>16.5</v>
      </c>
      <c r="AB5" s="37">
        <f t="shared" si="5"/>
        <v>21.5</v>
      </c>
      <c r="AC5" s="37">
        <f t="shared" si="5"/>
        <v>15.5</v>
      </c>
      <c r="AD5" s="37">
        <f t="shared" si="5"/>
        <v>16.5</v>
      </c>
      <c r="AE5" s="37">
        <f t="shared" si="5"/>
        <v>25.5</v>
      </c>
      <c r="AF5" s="37">
        <f t="shared" si="5"/>
        <v>22.5</v>
      </c>
    </row>
    <row r="6" spans="3:32" ht="12.75">
      <c r="C6" s="52">
        <v>3</v>
      </c>
      <c r="D6" s="53" t="s">
        <v>80</v>
      </c>
      <c r="F6" s="43">
        <f>F5/F4</f>
        <v>31.608695652173914</v>
      </c>
      <c r="G6" s="43">
        <f aca="true" t="shared" si="6" ref="G6:U6">G5/G4</f>
        <v>11.608695652173912</v>
      </c>
      <c r="H6" s="43">
        <f t="shared" si="6"/>
        <v>7.0374759769378645</v>
      </c>
      <c r="I6" s="43">
        <f t="shared" si="6"/>
        <v>26.860986547085194</v>
      </c>
      <c r="J6" s="43">
        <f t="shared" si="6"/>
        <v>20.421204356181946</v>
      </c>
      <c r="K6" s="43">
        <f t="shared" si="6"/>
        <v>22.08744394618835</v>
      </c>
      <c r="L6" s="43">
        <f t="shared" si="6"/>
        <v>12.523809523809524</v>
      </c>
      <c r="M6" s="43">
        <f t="shared" si="6"/>
        <v>18.61904761904762</v>
      </c>
      <c r="N6" s="43">
        <f t="shared" si="6"/>
        <v>1.7988468930172965</v>
      </c>
      <c r="O6" s="43">
        <f t="shared" si="6"/>
        <v>10.992632927610508</v>
      </c>
      <c r="P6" s="43">
        <f t="shared" si="6"/>
        <v>1.2608695652173914</v>
      </c>
      <c r="Q6" s="43">
        <f t="shared" si="6"/>
        <v>8.652173913043478</v>
      </c>
      <c r="R6" s="43">
        <f t="shared" si="6"/>
        <v>13.455156950672643</v>
      </c>
      <c r="S6" s="43">
        <f t="shared" si="6"/>
        <v>10.238095238095237</v>
      </c>
      <c r="T6" s="43">
        <f t="shared" si="6"/>
        <v>2.5238095238095237</v>
      </c>
      <c r="U6" s="43">
        <f t="shared" si="6"/>
        <v>1.380952380952381</v>
      </c>
      <c r="V6" s="43">
        <f aca="true" t="shared" si="7" ref="V6:AF6">V5/V4</f>
        <v>1.4761904761904763</v>
      </c>
      <c r="W6" s="43">
        <f t="shared" si="7"/>
        <v>5.857142857142857</v>
      </c>
      <c r="X6" s="43">
        <f t="shared" si="7"/>
        <v>2.4285714285714284</v>
      </c>
      <c r="Y6" s="43">
        <f t="shared" si="7"/>
        <v>4.809523809523809</v>
      </c>
      <c r="Z6" s="43">
        <f t="shared" si="7"/>
        <v>7.095238095238095</v>
      </c>
      <c r="AA6" s="43">
        <f t="shared" si="7"/>
        <v>1.5714285714285714</v>
      </c>
      <c r="AB6" s="43">
        <f t="shared" si="7"/>
        <v>2.0476190476190474</v>
      </c>
      <c r="AC6" s="43">
        <f t="shared" si="7"/>
        <v>1.4761904761904763</v>
      </c>
      <c r="AD6" s="43">
        <f t="shared" si="7"/>
        <v>1.5714285714285714</v>
      </c>
      <c r="AE6" s="43">
        <f t="shared" si="7"/>
        <v>2.4285714285714284</v>
      </c>
      <c r="AF6" s="43">
        <f t="shared" si="7"/>
        <v>2.142857142857143</v>
      </c>
    </row>
    <row r="7" spans="3:32" ht="12.75">
      <c r="C7" s="54">
        <v>1.4</v>
      </c>
      <c r="D7" s="55" t="s">
        <v>79</v>
      </c>
      <c r="F7" s="48">
        <f>$C$8+($C$7*LOG(F6,$C$6))</f>
        <v>4.9008293154153035</v>
      </c>
      <c r="G7" s="48">
        <f aca="true" t="shared" si="8" ref="G7:U7">$C$8+($C$7*LOG(G6,$C$6))</f>
        <v>3.6243562946313292</v>
      </c>
      <c r="H7" s="48">
        <f t="shared" si="8"/>
        <v>2.986545471965543</v>
      </c>
      <c r="I7" s="48">
        <f t="shared" si="8"/>
        <v>4.693421951518769</v>
      </c>
      <c r="J7" s="48">
        <f t="shared" si="8"/>
        <v>4.34412531145007</v>
      </c>
      <c r="K7" s="48">
        <f t="shared" si="8"/>
        <v>4.444078420079336</v>
      </c>
      <c r="L7" s="48">
        <f t="shared" si="8"/>
        <v>3.7210491988271515</v>
      </c>
      <c r="M7" s="48">
        <f t="shared" si="8"/>
        <v>4.22639120588198</v>
      </c>
      <c r="N7" s="48">
        <f t="shared" si="8"/>
        <v>1.2482204513467847</v>
      </c>
      <c r="O7" s="48">
        <f t="shared" si="8"/>
        <v>3.55486792294193</v>
      </c>
      <c r="P7" s="48">
        <f t="shared" si="8"/>
        <v>0.7953928906745482</v>
      </c>
      <c r="Q7" s="48">
        <f t="shared" si="8"/>
        <v>3.2497734036598804</v>
      </c>
      <c r="R7" s="48">
        <f t="shared" si="8"/>
        <v>3.8124583313819094</v>
      </c>
      <c r="S7" s="48">
        <f t="shared" si="8"/>
        <v>3.464250318475858</v>
      </c>
      <c r="T7" s="48">
        <f t="shared" si="8"/>
        <v>1.6797403683982661</v>
      </c>
      <c r="U7" s="48">
        <f t="shared" si="8"/>
        <v>0.9113214041289364</v>
      </c>
      <c r="V7" s="48">
        <f aca="true" t="shared" si="9" ref="V7:AF7">$C$8+($C$7*LOG(V6,$C$6))</f>
        <v>0.9963085513338297</v>
      </c>
      <c r="W7" s="48">
        <f t="shared" si="9"/>
        <v>2.752593303601946</v>
      </c>
      <c r="X7" s="48">
        <f t="shared" si="9"/>
        <v>1.6307214436016009</v>
      </c>
      <c r="Y7" s="48">
        <f t="shared" si="9"/>
        <v>2.5014679732289418</v>
      </c>
      <c r="Z7" s="48">
        <f t="shared" si="9"/>
        <v>2.996962253022429</v>
      </c>
      <c r="AA7" s="48">
        <f t="shared" si="9"/>
        <v>1.075980425275802</v>
      </c>
      <c r="AB7" s="48">
        <f t="shared" si="9"/>
        <v>1.41328738947076</v>
      </c>
      <c r="AC7" s="48">
        <f t="shared" si="9"/>
        <v>0.9963085513338297</v>
      </c>
      <c r="AD7" s="48">
        <f t="shared" si="9"/>
        <v>1.075980425275802</v>
      </c>
      <c r="AE7" s="48">
        <f t="shared" si="9"/>
        <v>1.6307214436016009</v>
      </c>
      <c r="AF7" s="48">
        <f t="shared" si="9"/>
        <v>1.4712216801791067</v>
      </c>
    </row>
    <row r="8" spans="3:32" ht="13.5" thickBot="1">
      <c r="C8" s="56">
        <v>0.5</v>
      </c>
      <c r="D8" s="57" t="s">
        <v>81</v>
      </c>
      <c r="E8" s="27" t="s">
        <v>77</v>
      </c>
      <c r="F8" s="51">
        <f>F147</f>
        <v>5</v>
      </c>
      <c r="G8" s="51">
        <f aca="true" t="shared" si="10" ref="G8:U8">G147</f>
        <v>4</v>
      </c>
      <c r="H8" s="51">
        <f t="shared" si="10"/>
        <v>2</v>
      </c>
      <c r="I8" s="51">
        <f t="shared" si="10"/>
        <v>4</v>
      </c>
      <c r="J8" s="51">
        <f t="shared" si="10"/>
        <v>4</v>
      </c>
      <c r="K8" s="51">
        <f t="shared" si="10"/>
        <v>4</v>
      </c>
      <c r="L8" s="51">
        <f t="shared" si="10"/>
        <v>4</v>
      </c>
      <c r="M8" s="51">
        <f t="shared" si="10"/>
        <v>4</v>
      </c>
      <c r="N8" s="51">
        <f t="shared" si="10"/>
        <v>2</v>
      </c>
      <c r="O8" s="51">
        <f t="shared" si="10"/>
        <v>4</v>
      </c>
      <c r="P8" s="51">
        <f t="shared" si="10"/>
        <v>1</v>
      </c>
      <c r="Q8" s="51">
        <f t="shared" si="10"/>
        <v>2</v>
      </c>
      <c r="R8" s="51">
        <f t="shared" si="10"/>
        <v>3</v>
      </c>
      <c r="S8" s="51">
        <f t="shared" si="10"/>
        <v>3</v>
      </c>
      <c r="T8" s="51">
        <f t="shared" si="10"/>
        <v>3</v>
      </c>
      <c r="U8" s="51">
        <f t="shared" si="10"/>
        <v>2</v>
      </c>
      <c r="V8" s="51">
        <f aca="true" t="shared" si="11" ref="V8:AF8">V147</f>
        <v>2</v>
      </c>
      <c r="W8" s="51">
        <f t="shared" si="11"/>
        <v>3</v>
      </c>
      <c r="X8" s="51">
        <f t="shared" si="11"/>
        <v>2</v>
      </c>
      <c r="Y8" s="51">
        <f t="shared" si="11"/>
        <v>4</v>
      </c>
      <c r="Z8" s="51">
        <f t="shared" si="11"/>
        <v>4</v>
      </c>
      <c r="AA8" s="51">
        <f t="shared" si="11"/>
        <v>2</v>
      </c>
      <c r="AB8" s="51">
        <f t="shared" si="11"/>
        <v>2</v>
      </c>
      <c r="AC8" s="51">
        <f t="shared" si="11"/>
        <v>2</v>
      </c>
      <c r="AD8" s="51">
        <f t="shared" si="11"/>
        <v>2</v>
      </c>
      <c r="AE8" s="51">
        <f t="shared" si="11"/>
        <v>3</v>
      </c>
      <c r="AF8" s="51">
        <f t="shared" si="11"/>
        <v>3</v>
      </c>
    </row>
    <row r="9" spans="4:32" ht="12.75">
      <c r="D9" s="27"/>
      <c r="E9" s="27" t="s">
        <v>78</v>
      </c>
      <c r="F9" s="38">
        <f>IF(F7-INT(F7)&gt;0.5,ROUNDUP(F7,0),ROUNDDOWN(F7,0))</f>
        <v>5</v>
      </c>
      <c r="G9" s="38">
        <f aca="true" t="shared" si="12" ref="G9:AF9">IF(G7-INT(G7)&gt;0.5,ROUNDUP(G7,0),ROUNDDOWN(G7,0))</f>
        <v>4</v>
      </c>
      <c r="H9" s="38">
        <f t="shared" si="12"/>
        <v>3</v>
      </c>
      <c r="I9" s="38">
        <f t="shared" si="12"/>
        <v>5</v>
      </c>
      <c r="J9" s="38">
        <f t="shared" si="12"/>
        <v>4</v>
      </c>
      <c r="K9" s="38">
        <f t="shared" si="12"/>
        <v>4</v>
      </c>
      <c r="L9" s="38">
        <f t="shared" si="12"/>
        <v>4</v>
      </c>
      <c r="M9" s="38">
        <f t="shared" si="12"/>
        <v>4</v>
      </c>
      <c r="N9" s="38">
        <f t="shared" si="12"/>
        <v>1</v>
      </c>
      <c r="O9" s="38">
        <f t="shared" si="12"/>
        <v>4</v>
      </c>
      <c r="P9" s="38">
        <f t="shared" si="12"/>
        <v>1</v>
      </c>
      <c r="Q9" s="38">
        <f t="shared" si="12"/>
        <v>3</v>
      </c>
      <c r="R9" s="38">
        <f t="shared" si="12"/>
        <v>4</v>
      </c>
      <c r="S9" s="38">
        <f t="shared" si="12"/>
        <v>3</v>
      </c>
      <c r="T9" s="38">
        <f t="shared" si="12"/>
        <v>2</v>
      </c>
      <c r="U9" s="38">
        <f t="shared" si="12"/>
        <v>1</v>
      </c>
      <c r="V9" s="38">
        <f t="shared" si="12"/>
        <v>1</v>
      </c>
      <c r="W9" s="38">
        <f t="shared" si="12"/>
        <v>3</v>
      </c>
      <c r="X9" s="38">
        <f t="shared" si="12"/>
        <v>2</v>
      </c>
      <c r="Y9" s="38">
        <f t="shared" si="12"/>
        <v>3</v>
      </c>
      <c r="Z9" s="38">
        <f t="shared" si="12"/>
        <v>3</v>
      </c>
      <c r="AA9" s="38">
        <f t="shared" si="12"/>
        <v>1</v>
      </c>
      <c r="AB9" s="38">
        <f t="shared" si="12"/>
        <v>1</v>
      </c>
      <c r="AC9" s="38">
        <f t="shared" si="12"/>
        <v>1</v>
      </c>
      <c r="AD9" s="38">
        <f t="shared" si="12"/>
        <v>1</v>
      </c>
      <c r="AE9" s="38">
        <f t="shared" si="12"/>
        <v>2</v>
      </c>
      <c r="AF9" s="38">
        <f t="shared" si="12"/>
        <v>1</v>
      </c>
    </row>
    <row r="10" spans="4:135" ht="12.75">
      <c r="D10" s="27"/>
      <c r="E10" s="77" t="s">
        <v>114</v>
      </c>
      <c r="F10" s="76" t="str">
        <f aca="true" t="shared" si="13" ref="F10:AF10">IF(F9=1,"A",IF(F9=2,"B",IF(F9=3,"C",IF(F9=4,"D",IF(F9=5,"E","")))))</f>
        <v>E</v>
      </c>
      <c r="G10" s="76" t="str">
        <f t="shared" si="13"/>
        <v>D</v>
      </c>
      <c r="H10" s="76" t="str">
        <f t="shared" si="13"/>
        <v>C</v>
      </c>
      <c r="I10" s="76" t="str">
        <f t="shared" si="13"/>
        <v>E</v>
      </c>
      <c r="J10" s="76" t="str">
        <f t="shared" si="13"/>
        <v>D</v>
      </c>
      <c r="K10" s="76" t="str">
        <f t="shared" si="13"/>
        <v>D</v>
      </c>
      <c r="L10" s="76" t="str">
        <f t="shared" si="13"/>
        <v>D</v>
      </c>
      <c r="M10" s="76" t="str">
        <f t="shared" si="13"/>
        <v>D</v>
      </c>
      <c r="N10" s="76" t="str">
        <f t="shared" si="13"/>
        <v>A</v>
      </c>
      <c r="O10" s="76" t="str">
        <f t="shared" si="13"/>
        <v>D</v>
      </c>
      <c r="P10" s="76" t="str">
        <f t="shared" si="13"/>
        <v>A</v>
      </c>
      <c r="Q10" s="76" t="str">
        <f t="shared" si="13"/>
        <v>C</v>
      </c>
      <c r="R10" s="76" t="str">
        <f t="shared" si="13"/>
        <v>D</v>
      </c>
      <c r="S10" s="76" t="str">
        <f t="shared" si="13"/>
        <v>C</v>
      </c>
      <c r="T10" s="76" t="str">
        <f t="shared" si="13"/>
        <v>B</v>
      </c>
      <c r="U10" s="76" t="str">
        <f t="shared" si="13"/>
        <v>A</v>
      </c>
      <c r="V10" s="76" t="str">
        <f t="shared" si="13"/>
        <v>A</v>
      </c>
      <c r="W10" s="76" t="str">
        <f t="shared" si="13"/>
        <v>C</v>
      </c>
      <c r="X10" s="76" t="str">
        <f t="shared" si="13"/>
        <v>B</v>
      </c>
      <c r="Y10" s="76" t="str">
        <f t="shared" si="13"/>
        <v>C</v>
      </c>
      <c r="Z10" s="76" t="str">
        <f t="shared" si="13"/>
        <v>C</v>
      </c>
      <c r="AA10" s="76" t="str">
        <f t="shared" si="13"/>
        <v>A</v>
      </c>
      <c r="AB10" s="76" t="str">
        <f t="shared" si="13"/>
        <v>A</v>
      </c>
      <c r="AC10" s="76" t="str">
        <f t="shared" si="13"/>
        <v>A</v>
      </c>
      <c r="AD10" s="76" t="str">
        <f t="shared" si="13"/>
        <v>A</v>
      </c>
      <c r="AE10" s="76" t="str">
        <f t="shared" si="13"/>
        <v>B</v>
      </c>
      <c r="AF10" s="76" t="str">
        <f t="shared" si="13"/>
        <v>A</v>
      </c>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row>
    <row r="11" spans="4:32" ht="13.5" thickBot="1">
      <c r="D11" s="27"/>
      <c r="E11" s="27"/>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row>
    <row r="12" spans="4:32" ht="13.5" thickBot="1">
      <c r="D12" s="58" t="s">
        <v>82</v>
      </c>
      <c r="E12" s="50">
        <f>INT(SUM(F12:AF12)/2)</f>
        <v>2</v>
      </c>
      <c r="F12" s="43">
        <f aca="true" t="shared" si="14" ref="F12:U12">IF(F9-F8&gt;0,F9-F8,"")</f>
      </c>
      <c r="G12" s="43">
        <f t="shared" si="14"/>
      </c>
      <c r="H12" s="43">
        <f t="shared" si="14"/>
        <v>1</v>
      </c>
      <c r="I12" s="43">
        <f t="shared" si="14"/>
        <v>1</v>
      </c>
      <c r="J12" s="43">
        <f t="shared" si="14"/>
      </c>
      <c r="K12" s="43">
        <f t="shared" si="14"/>
      </c>
      <c r="L12" s="43">
        <f t="shared" si="14"/>
      </c>
      <c r="M12" s="43">
        <f t="shared" si="14"/>
      </c>
      <c r="N12" s="43">
        <f t="shared" si="14"/>
      </c>
      <c r="O12" s="43">
        <f t="shared" si="14"/>
      </c>
      <c r="P12" s="43">
        <f t="shared" si="14"/>
      </c>
      <c r="Q12" s="43">
        <f t="shared" si="14"/>
        <v>1</v>
      </c>
      <c r="R12" s="43">
        <f t="shared" si="14"/>
        <v>1</v>
      </c>
      <c r="S12" s="43">
        <f t="shared" si="14"/>
      </c>
      <c r="T12" s="43">
        <f t="shared" si="14"/>
      </c>
      <c r="U12" s="43">
        <f t="shared" si="14"/>
      </c>
      <c r="V12" s="43">
        <f aca="true" t="shared" si="15" ref="V12:AF12">IF(V9-V8&gt;0,V9-V8,"")</f>
      </c>
      <c r="W12" s="43">
        <f t="shared" si="15"/>
      </c>
      <c r="X12" s="43">
        <f t="shared" si="15"/>
      </c>
      <c r="Y12" s="43">
        <f t="shared" si="15"/>
      </c>
      <c r="Z12" s="43">
        <f t="shared" si="15"/>
      </c>
      <c r="AA12" s="43">
        <f t="shared" si="15"/>
      </c>
      <c r="AB12" s="43">
        <f t="shared" si="15"/>
      </c>
      <c r="AC12" s="43">
        <f t="shared" si="15"/>
      </c>
      <c r="AD12" s="43">
        <f t="shared" si="15"/>
      </c>
      <c r="AE12" s="43">
        <f t="shared" si="15"/>
      </c>
      <c r="AF12" s="43">
        <f t="shared" si="15"/>
      </c>
    </row>
    <row r="13" spans="4:32" ht="13.5" thickBot="1">
      <c r="D13" s="59" t="s">
        <v>83</v>
      </c>
      <c r="E13" s="49">
        <f>INT(SUM(F13:AF13)/2)</f>
        <v>-7</v>
      </c>
      <c r="F13" s="43">
        <f aca="true" t="shared" si="16" ref="F13:U13">IF(F$9-F$8&lt;0,F$9-F$8,"")</f>
      </c>
      <c r="G13" s="43">
        <f t="shared" si="16"/>
      </c>
      <c r="H13" s="43">
        <f t="shared" si="16"/>
      </c>
      <c r="I13" s="43">
        <f t="shared" si="16"/>
      </c>
      <c r="J13" s="43">
        <f t="shared" si="16"/>
      </c>
      <c r="K13" s="43">
        <f t="shared" si="16"/>
      </c>
      <c r="L13" s="43">
        <f t="shared" si="16"/>
      </c>
      <c r="M13" s="43">
        <f t="shared" si="16"/>
      </c>
      <c r="N13" s="43">
        <f t="shared" si="16"/>
        <v>-1</v>
      </c>
      <c r="O13" s="43">
        <f t="shared" si="16"/>
      </c>
      <c r="P13" s="43">
        <f t="shared" si="16"/>
      </c>
      <c r="Q13" s="43">
        <f t="shared" si="16"/>
      </c>
      <c r="R13" s="43">
        <f t="shared" si="16"/>
      </c>
      <c r="S13" s="43">
        <f t="shared" si="16"/>
      </c>
      <c r="T13" s="43">
        <f t="shared" si="16"/>
        <v>-1</v>
      </c>
      <c r="U13" s="43">
        <f t="shared" si="16"/>
        <v>-1</v>
      </c>
      <c r="V13" s="43">
        <f aca="true" t="shared" si="17" ref="V13:AF13">IF(V$9-V$8&lt;0,V$9-V$8,"")</f>
        <v>-1</v>
      </c>
      <c r="W13" s="43">
        <f t="shared" si="17"/>
      </c>
      <c r="X13" s="43">
        <f t="shared" si="17"/>
      </c>
      <c r="Y13" s="43">
        <f t="shared" si="17"/>
        <v>-1</v>
      </c>
      <c r="Z13" s="43">
        <f t="shared" si="17"/>
        <v>-1</v>
      </c>
      <c r="AA13" s="43">
        <f t="shared" si="17"/>
        <v>-1</v>
      </c>
      <c r="AB13" s="43">
        <f t="shared" si="17"/>
        <v>-1</v>
      </c>
      <c r="AC13" s="43">
        <f t="shared" si="17"/>
        <v>-1</v>
      </c>
      <c r="AD13" s="43">
        <f t="shared" si="17"/>
        <v>-1</v>
      </c>
      <c r="AE13" s="43">
        <f t="shared" si="17"/>
        <v>-1</v>
      </c>
      <c r="AF13" s="43">
        <f t="shared" si="17"/>
        <v>-2</v>
      </c>
    </row>
    <row r="14" ht="12.75"/>
    <row r="15" ht="12.75"/>
    <row r="16" ht="12.75"/>
    <row r="17" ht="12.75"/>
    <row r="18" ht="12.75"/>
    <row r="19" ht="13.5" thickBot="1">
      <c r="D19" s="27"/>
    </row>
    <row r="20" spans="3:32" ht="12.75">
      <c r="C20" t="s">
        <v>72</v>
      </c>
      <c r="D20" s="27"/>
      <c r="F20" s="61" t="s">
        <v>26</v>
      </c>
      <c r="G20" s="61" t="s">
        <v>26</v>
      </c>
      <c r="H20" s="61" t="s">
        <v>26</v>
      </c>
      <c r="I20" s="61" t="s">
        <v>26</v>
      </c>
      <c r="J20" s="61" t="s">
        <v>26</v>
      </c>
      <c r="K20" s="61" t="s">
        <v>26</v>
      </c>
      <c r="L20" s="61" t="s">
        <v>26</v>
      </c>
      <c r="M20" s="61" t="s">
        <v>26</v>
      </c>
      <c r="N20" s="61" t="s">
        <v>26</v>
      </c>
      <c r="O20" s="61" t="s">
        <v>26</v>
      </c>
      <c r="P20" s="61" t="s">
        <v>26</v>
      </c>
      <c r="Q20" s="61" t="s">
        <v>26</v>
      </c>
      <c r="R20" s="61" t="s">
        <v>26</v>
      </c>
      <c r="S20" s="61" t="s">
        <v>26</v>
      </c>
      <c r="T20" s="61" t="s">
        <v>26</v>
      </c>
      <c r="U20" s="61" t="s">
        <v>26</v>
      </c>
      <c r="V20" s="61" t="s">
        <v>26</v>
      </c>
      <c r="W20" s="61" t="s">
        <v>26</v>
      </c>
      <c r="X20" s="61" t="s">
        <v>26</v>
      </c>
      <c r="Y20" s="61" t="s">
        <v>26</v>
      </c>
      <c r="Z20" s="61" t="s">
        <v>26</v>
      </c>
      <c r="AA20" s="61" t="s">
        <v>26</v>
      </c>
      <c r="AB20" s="61" t="s">
        <v>26</v>
      </c>
      <c r="AC20" s="61" t="s">
        <v>26</v>
      </c>
      <c r="AD20" s="61" t="s">
        <v>26</v>
      </c>
      <c r="AE20" s="61" t="s">
        <v>26</v>
      </c>
      <c r="AF20" s="61" t="s">
        <v>26</v>
      </c>
    </row>
    <row r="21" spans="4:32" ht="12.75">
      <c r="D21" s="28" t="s">
        <v>71</v>
      </c>
      <c r="E21" s="2"/>
      <c r="F21" s="62" t="s">
        <v>0</v>
      </c>
      <c r="G21" s="62" t="s">
        <v>2</v>
      </c>
      <c r="H21" s="62" t="s">
        <v>27</v>
      </c>
      <c r="I21" s="62" t="s">
        <v>2</v>
      </c>
      <c r="J21" s="62" t="s">
        <v>2</v>
      </c>
      <c r="K21" s="62" t="s">
        <v>2</v>
      </c>
      <c r="L21" s="62" t="s">
        <v>2</v>
      </c>
      <c r="M21" s="62" t="s">
        <v>2</v>
      </c>
      <c r="N21" s="62" t="s">
        <v>27</v>
      </c>
      <c r="O21" s="62" t="s">
        <v>2</v>
      </c>
      <c r="P21" s="62" t="s">
        <v>3</v>
      </c>
      <c r="Q21" s="62" t="s">
        <v>27</v>
      </c>
      <c r="R21" s="62" t="s">
        <v>1</v>
      </c>
      <c r="S21" s="62" t="s">
        <v>1</v>
      </c>
      <c r="T21" s="62" t="s">
        <v>1</v>
      </c>
      <c r="U21" s="62" t="s">
        <v>27</v>
      </c>
      <c r="V21" s="62" t="s">
        <v>27</v>
      </c>
      <c r="W21" s="62" t="s">
        <v>1</v>
      </c>
      <c r="X21" s="62" t="s">
        <v>27</v>
      </c>
      <c r="Y21" s="62" t="s">
        <v>2</v>
      </c>
      <c r="Z21" s="62" t="s">
        <v>2</v>
      </c>
      <c r="AA21" s="62" t="s">
        <v>27</v>
      </c>
      <c r="AB21" s="62" t="s">
        <v>27</v>
      </c>
      <c r="AC21" s="62" t="s">
        <v>27</v>
      </c>
      <c r="AD21" s="62" t="s">
        <v>27</v>
      </c>
      <c r="AE21" s="62" t="s">
        <v>1</v>
      </c>
      <c r="AF21" s="62" t="s">
        <v>1</v>
      </c>
    </row>
    <row r="22" spans="1:32" ht="12.75">
      <c r="A22" s="12">
        <v>1</v>
      </c>
      <c r="C22" s="12">
        <v>1</v>
      </c>
      <c r="D22" s="4" t="s">
        <v>4</v>
      </c>
      <c r="E22" s="4"/>
      <c r="F22" s="63" t="str">
        <f>IF(ISBLANK('Saxton Ck'!L4),"",'Saxton Ck'!L4)</f>
        <v>E</v>
      </c>
      <c r="G22" s="63" t="str">
        <f>IF(ISBLANK('Orphanage Ck'!L4),"",'Orphanage Ck'!L4)</f>
        <v>C</v>
      </c>
      <c r="H22" s="117" t="str">
        <f>IF(ISBLANK('Poorman upr'!L4),"",'Poorman upr'!L4)</f>
        <v>C</v>
      </c>
      <c r="I22" s="63" t="str">
        <f>IF(ISBLANK('Poorman lwr'!L4),"",'Poorman lwr'!L4)</f>
        <v>C</v>
      </c>
      <c r="J22" s="63" t="str">
        <f>IF(ISBLANK('Jenkins lwr'!L4),"",'Jenkins lwr'!L4)</f>
        <v>A</v>
      </c>
      <c r="K22" s="63" t="str">
        <f>IF(ISBLANK(York!L4),"",York!L4)</f>
        <v>D</v>
      </c>
      <c r="L22" s="63" t="str">
        <f>IF(ISBLANK(Todds!L4),"",Todds!L4)</f>
        <v>C</v>
      </c>
      <c r="M22" s="63" t="str">
        <f>IF(ISBLANK(Hillwood!L4),"",Hillwood!L4)</f>
        <v>A</v>
      </c>
      <c r="N22" s="63" t="str">
        <f>IF(ISBLANK('Brook upr'!L4),"",'Brook upr'!L4)</f>
        <v>A</v>
      </c>
      <c r="O22" s="63" t="str">
        <f>IF(ISBLANK('Brook lwr'!L4),"",'Brook lwr'!L4)</f>
        <v>C</v>
      </c>
      <c r="P22" s="63" t="str">
        <f>IF(ISBLANK('Maitai upr'!L4),"",'Maitai upr'!L4)</f>
        <v>A</v>
      </c>
      <c r="Q22" s="63" t="str">
        <f>IF(ISBLANK('Maitai u_m'!L4),"",'Maitai u_m'!L4)</f>
        <v>A</v>
      </c>
      <c r="R22" s="63" t="str">
        <f>IF(ISBLANK('Maitai lwr'!L4),"",'Maitai lwr'!L4)</f>
        <v>B</v>
      </c>
      <c r="S22" s="63" t="str">
        <f>IF(ISBLANK(Sharland!L4),"",Sharland!L4)</f>
        <v>E</v>
      </c>
      <c r="T22" s="63" t="str">
        <f>IF(ISBLANK(Groom!L4),"",Groom!L4)</f>
        <v>A</v>
      </c>
      <c r="U22" s="63" t="str">
        <f>IF(ISBLANK('Wakapuaka upr'!L4),"",'Wakapuaka upr'!L4)</f>
        <v>A</v>
      </c>
      <c r="V22" s="63" t="str">
        <f>IF(ISBLANK('Wakapuaka mid'!L4),"",'Wakapuaka mid'!L4)</f>
        <v>A</v>
      </c>
      <c r="W22" s="63" t="str">
        <f>IF(ISBLANK('Wakapuaka lwr'!L4),"",'Wakapuaka lwr'!L4)</f>
        <v>B</v>
      </c>
      <c r="X22" s="63" t="str">
        <f>IF(ISBLANK('Teal upr'!L4),"",'Teal upr'!L4)</f>
        <v>A</v>
      </c>
      <c r="Y22" s="63" t="str">
        <f>IF(ISBLANK('Lud upr'!L4),"",'Lud upr'!L4)</f>
        <v>B</v>
      </c>
      <c r="Z22" s="63" t="str">
        <f>IF(ISBLANK('Lud lwr'!L4),"",'Lud lwr'!L4)</f>
        <v>D</v>
      </c>
      <c r="AA22" s="63" t="str">
        <f>IF(ISBLANK(Pritchards!L4),"",Pritchards!L4)</f>
        <v>A</v>
      </c>
      <c r="AB22" s="63" t="str">
        <f>IF(ISBLANK('Whangamoa upr'!L4),"",'Whangamoa upr'!L4)</f>
        <v>C</v>
      </c>
      <c r="AC22" s="63" t="str">
        <f>IF(ISBLANK('Whangamoa lwr'!L4),"",'Whangamoa lwr'!L4)</f>
        <v>A</v>
      </c>
      <c r="AD22" s="63" t="str">
        <f>IF(ISBLANK(Graham!L4),"",Graham!L4)</f>
        <v>A</v>
      </c>
      <c r="AE22" s="63" t="str">
        <f>IF(ISBLANK(Collins!L4),"",Collins!L4)</f>
        <v>C</v>
      </c>
      <c r="AF22" s="63" t="str">
        <f>IF(ISBLANK(Dencker!L4),"",Dencker!L4)</f>
        <v>A</v>
      </c>
    </row>
    <row r="23" spans="1:32" ht="12.75">
      <c r="A23" s="13"/>
      <c r="C23" s="13"/>
      <c r="D23" s="5" t="s">
        <v>5</v>
      </c>
      <c r="E23" s="5"/>
      <c r="F23" s="63">
        <f>IF(ISBLANK('Saxton Ck'!L5),"",'Saxton Ck'!L5)</f>
      </c>
      <c r="G23" s="63">
        <f>IF(ISBLANK('Orphanage Ck'!L5),"",'Orphanage Ck'!L5)</f>
      </c>
      <c r="H23" s="117">
        <f>IF(ISBLANK('Poorman upr'!L5),"",'Poorman upr'!L5)</f>
      </c>
      <c r="I23" s="63">
        <f>IF(ISBLANK('Poorman lwr'!L5),"",'Poorman lwr'!L5)</f>
      </c>
      <c r="J23" s="63">
        <f>IF(ISBLANK('Jenkins lwr'!L5),"",'Jenkins lwr'!L5)</f>
      </c>
      <c r="K23" s="63">
        <f>IF(ISBLANK(York!L5),"",York!L5)</f>
      </c>
      <c r="L23" s="63">
        <f>IF(ISBLANK(Todds!L5),"",Todds!L5)</f>
      </c>
      <c r="M23" s="63">
        <f>IF(ISBLANK(Hillwood!L5),"",Hillwood!L5)</f>
      </c>
      <c r="N23" s="63">
        <f>IF(ISBLANK('Brook upr'!L5),"",'Brook upr'!L5)</f>
      </c>
      <c r="O23" s="63">
        <f>IF(ISBLANK('Brook lwr'!L5),"",'Brook lwr'!L5)</f>
      </c>
      <c r="P23" s="63">
        <f>IF(ISBLANK('Maitai upr'!L5),"",'Maitai upr'!L5)</f>
      </c>
      <c r="Q23" s="63">
        <f>IF(ISBLANK('Maitai u_m'!L5),"",'Maitai u_m'!L5)</f>
      </c>
      <c r="R23" s="63">
        <f>IF(ISBLANK('Maitai lwr'!L5),"",'Maitai lwr'!L5)</f>
      </c>
      <c r="S23" s="63">
        <f>IF(ISBLANK(Sharland!L5),"",Sharland!L5)</f>
      </c>
      <c r="T23" s="63">
        <f>IF(ISBLANK(Groom!L5),"",Groom!L5)</f>
      </c>
      <c r="U23" s="63">
        <f>IF(ISBLANK('Wakapuaka upr'!L5),"",'Wakapuaka upr'!L5)</f>
      </c>
      <c r="V23" s="63">
        <f>IF(ISBLANK('Wakapuaka mid'!L5),"",'Wakapuaka mid'!L5)</f>
      </c>
      <c r="W23" s="63">
        <f>IF(ISBLANK('Wakapuaka lwr'!L5),"",'Wakapuaka lwr'!L5)</f>
      </c>
      <c r="X23" s="63">
        <f>IF(ISBLANK('Teal upr'!L5),"",'Teal upr'!L5)</f>
      </c>
      <c r="Y23" s="63">
        <f>IF(ISBLANK('Lud upr'!L5),"",'Lud upr'!L5)</f>
      </c>
      <c r="Z23" s="63">
        <f>IF(ISBLANK('Lud lwr'!L5),"",'Lud lwr'!L5)</f>
      </c>
      <c r="AA23" s="63">
        <f>IF(ISBLANK(Pritchards!L5),"",Pritchards!L5)</f>
      </c>
      <c r="AB23" s="63">
        <f>IF(ISBLANK('Whangamoa upr'!L5),"",'Whangamoa upr'!L5)</f>
      </c>
      <c r="AC23" s="63">
        <f>IF(ISBLANK('Whangamoa lwr'!L5),"",'Whangamoa lwr'!L5)</f>
      </c>
      <c r="AD23" s="63">
        <f>IF(ISBLANK(Graham!L5),"",Graham!L5)</f>
      </c>
      <c r="AE23" s="63">
        <f>IF(ISBLANK(Collins!L5),"",Collins!L5)</f>
      </c>
      <c r="AF23" s="63">
        <f>IF(ISBLANK(Dencker!L5),"",Dencker!L5)</f>
      </c>
    </row>
    <row r="24" spans="1:32" ht="12.75">
      <c r="A24" s="12">
        <v>0.5</v>
      </c>
      <c r="C24" s="12">
        <v>0.5</v>
      </c>
      <c r="D24" s="29" t="s">
        <v>6</v>
      </c>
      <c r="E24" s="29"/>
      <c r="F24" s="63" t="str">
        <f>IF(ISBLANK('Saxton Ck'!L6),"",'Saxton Ck'!L6)</f>
        <v>C</v>
      </c>
      <c r="G24" s="63" t="str">
        <f>IF(ISBLANK('Orphanage Ck'!L6),"",'Orphanage Ck'!L6)</f>
        <v>C</v>
      </c>
      <c r="H24" s="117" t="str">
        <f>IF(ISBLANK('Poorman upr'!L6),"",'Poorman upr'!L6)</f>
        <v>C</v>
      </c>
      <c r="I24" s="63" t="str">
        <f>IF(ISBLANK('Poorman lwr'!L6),"",'Poorman lwr'!L6)</f>
        <v>C</v>
      </c>
      <c r="J24" s="63" t="str">
        <f>IF(ISBLANK('Jenkins lwr'!L6),"",'Jenkins lwr'!L6)</f>
        <v>C</v>
      </c>
      <c r="K24" s="63" t="str">
        <f>IF(ISBLANK(York!L6),"",York!L6)</f>
        <v>C</v>
      </c>
      <c r="L24" s="63" t="str">
        <f>IF(ISBLANK(Todds!L6),"",Todds!L6)</f>
        <v>C</v>
      </c>
      <c r="M24" s="63" t="str">
        <f>IF(ISBLANK(Hillwood!L6),"",Hillwood!L6)</f>
        <v>C</v>
      </c>
      <c r="N24" s="63" t="str">
        <f>IF(ISBLANK('Brook upr'!L6),"",'Brook upr'!L6)</f>
        <v>C</v>
      </c>
      <c r="O24" s="63" t="str">
        <f>IF(ISBLANK('Brook lwr'!L6),"",'Brook lwr'!L6)</f>
        <v>C</v>
      </c>
      <c r="P24" s="63" t="str">
        <f>IF(ISBLANK('Maitai upr'!L6),"",'Maitai upr'!L6)</f>
        <v>B</v>
      </c>
      <c r="Q24" s="63" t="str">
        <f>IF(ISBLANK('Maitai u_m'!L6),"",'Maitai u_m'!L6)</f>
        <v>B</v>
      </c>
      <c r="R24" s="63" t="str">
        <f>IF(ISBLANK('Maitai lwr'!L6),"",'Maitai lwr'!L6)</f>
        <v>B</v>
      </c>
      <c r="S24" s="63" t="str">
        <f>IF(ISBLANK(Sharland!L6),"",Sharland!L6)</f>
        <v>C</v>
      </c>
      <c r="T24" s="63" t="str">
        <f>IF(ISBLANK(Groom!L6),"",Groom!L6)</f>
        <v>C</v>
      </c>
      <c r="U24" s="63" t="str">
        <f>IF(ISBLANK('Wakapuaka upr'!L6),"",'Wakapuaka upr'!L6)</f>
        <v>B</v>
      </c>
      <c r="V24" s="63" t="str">
        <f>IF(ISBLANK('Wakapuaka mid'!L6),"",'Wakapuaka mid'!L6)</f>
        <v>B</v>
      </c>
      <c r="W24" s="63" t="str">
        <f>IF(ISBLANK('Wakapuaka lwr'!L6),"",'Wakapuaka lwr'!L6)</f>
        <v>B</v>
      </c>
      <c r="X24" s="63" t="str">
        <f>IF(ISBLANK('Teal upr'!L6),"",'Teal upr'!L6)</f>
        <v>B</v>
      </c>
      <c r="Y24" s="63" t="str">
        <f>IF(ISBLANK('Lud upr'!L6),"",'Lud upr'!L6)</f>
        <v>C</v>
      </c>
      <c r="Z24" s="63" t="str">
        <f>IF(ISBLANK('Lud lwr'!L6),"",'Lud lwr'!L6)</f>
        <v>C</v>
      </c>
      <c r="AA24" s="63" t="str">
        <f>IF(ISBLANK(Pritchards!L6),"",Pritchards!L6)</f>
        <v>C</v>
      </c>
      <c r="AB24" s="63" t="str">
        <f>IF(ISBLANK('Whangamoa upr'!L6),"",'Whangamoa upr'!L6)</f>
        <v>B</v>
      </c>
      <c r="AC24" s="63" t="str">
        <f>IF(ISBLANK('Whangamoa lwr'!L6),"",'Whangamoa lwr'!L6)</f>
        <v>B</v>
      </c>
      <c r="AD24" s="63" t="str">
        <f>IF(ISBLANK(Graham!L6),"",Graham!L6)</f>
        <v>B</v>
      </c>
      <c r="AE24" s="63" t="str">
        <f>IF(ISBLANK(Collins!L6),"",Collins!L6)</f>
        <v>B</v>
      </c>
      <c r="AF24" s="63" t="str">
        <f>IF(ISBLANK(Dencker!L6),"",Dencker!L6)</f>
        <v>C</v>
      </c>
    </row>
    <row r="25" spans="1:32" ht="12.75">
      <c r="A25" s="12">
        <v>0.5</v>
      </c>
      <c r="C25" s="12">
        <v>0.5</v>
      </c>
      <c r="D25" s="6" t="s">
        <v>7</v>
      </c>
      <c r="E25" s="6"/>
      <c r="F25" s="63" t="str">
        <f>IF(ISBLANK('Saxton Ck'!L7),"",'Saxton Ck'!L7)</f>
        <v>C</v>
      </c>
      <c r="G25" s="63" t="str">
        <f>IF(ISBLANK('Orphanage Ck'!L7),"",'Orphanage Ck'!L7)</f>
        <v>A</v>
      </c>
      <c r="H25" s="117" t="str">
        <f>IF(ISBLANK('Poorman upr'!L7),"",'Poorman upr'!L7)</f>
        <v>A</v>
      </c>
      <c r="I25" s="63" t="str">
        <f>IF(ISBLANK('Poorman lwr'!L7),"",'Poorman lwr'!L7)</f>
        <v>A</v>
      </c>
      <c r="J25" s="63" t="str">
        <f>IF(ISBLANK('Jenkins lwr'!L7),"",'Jenkins lwr'!L7)</f>
        <v>A</v>
      </c>
      <c r="K25" s="63" t="str">
        <f>IF(ISBLANK(York!L7),"",York!L7)</f>
        <v>A</v>
      </c>
      <c r="L25" s="63" t="str">
        <f>IF(ISBLANK(Todds!L7),"",Todds!L7)</f>
        <v>A</v>
      </c>
      <c r="M25" s="63" t="str">
        <f>IF(ISBLANK(Hillwood!L7),"",Hillwood!L7)</f>
        <v>A</v>
      </c>
      <c r="N25" s="63" t="str">
        <f>IF(ISBLANK('Brook upr'!L7),"",'Brook upr'!L7)</f>
        <v>A</v>
      </c>
      <c r="O25" s="63" t="str">
        <f>IF(ISBLANK('Brook lwr'!L7),"",'Brook lwr'!L7)</f>
        <v>A</v>
      </c>
      <c r="P25" s="63" t="str">
        <f>IF(ISBLANK('Maitai upr'!L7),"",'Maitai upr'!L7)</f>
        <v>A</v>
      </c>
      <c r="Q25" s="63" t="str">
        <f>IF(ISBLANK('Maitai u_m'!L7),"",'Maitai u_m'!L7)</f>
        <v>A</v>
      </c>
      <c r="R25" s="63" t="str">
        <f>IF(ISBLANK('Maitai lwr'!L7),"",'Maitai lwr'!L7)</f>
        <v>A</v>
      </c>
      <c r="S25" s="63" t="str">
        <f>IF(ISBLANK(Sharland!L7),"",Sharland!L7)</f>
        <v>A</v>
      </c>
      <c r="T25" s="63" t="str">
        <f>IF(ISBLANK(Groom!L7),"",Groom!L7)</f>
        <v>A</v>
      </c>
      <c r="U25" s="63" t="str">
        <f>IF(ISBLANK('Wakapuaka upr'!L7),"",'Wakapuaka upr'!L7)</f>
        <v>A</v>
      </c>
      <c r="V25" s="63" t="str">
        <f>IF(ISBLANK('Wakapuaka mid'!L7),"",'Wakapuaka mid'!L7)</f>
        <v>A</v>
      </c>
      <c r="W25" s="63" t="str">
        <f>IF(ISBLANK('Wakapuaka lwr'!L7),"",'Wakapuaka lwr'!L7)</f>
        <v>A</v>
      </c>
      <c r="X25" s="63" t="str">
        <f>IF(ISBLANK('Teal upr'!L7),"",'Teal upr'!L7)</f>
        <v>A</v>
      </c>
      <c r="Y25" s="63" t="str">
        <f>IF(ISBLANK('Lud upr'!L7),"",'Lud upr'!L7)</f>
        <v>A</v>
      </c>
      <c r="Z25" s="63" t="str">
        <f>IF(ISBLANK('Lud lwr'!L7),"",'Lud lwr'!L7)</f>
        <v>A</v>
      </c>
      <c r="AA25" s="63" t="str">
        <f>IF(ISBLANK(Pritchards!L7),"",Pritchards!L7)</f>
        <v>A</v>
      </c>
      <c r="AB25" s="63" t="str">
        <f>IF(ISBLANK('Whangamoa upr'!L7),"",'Whangamoa upr'!L7)</f>
        <v>A</v>
      </c>
      <c r="AC25" s="63" t="str">
        <f>IF(ISBLANK('Whangamoa lwr'!L7),"",'Whangamoa lwr'!L7)</f>
        <v>A</v>
      </c>
      <c r="AD25" s="63" t="str">
        <f>IF(ISBLANK(Graham!L7),"",Graham!L7)</f>
        <v>A</v>
      </c>
      <c r="AE25" s="63" t="str">
        <f>IF(ISBLANK(Collins!L7),"",Collins!L7)</f>
        <v>A</v>
      </c>
      <c r="AF25" s="63" t="str">
        <f>IF(ISBLANK(Dencker!L7),"",Dencker!L7)</f>
        <v>A</v>
      </c>
    </row>
    <row r="26" spans="1:32" ht="12.75">
      <c r="A26" s="12">
        <v>1</v>
      </c>
      <c r="C26" s="12">
        <v>0.5</v>
      </c>
      <c r="D26" s="6" t="s">
        <v>8</v>
      </c>
      <c r="E26" s="6"/>
      <c r="F26" s="63" t="str">
        <f>IF(ISBLANK('Saxton Ck'!L8),"",'Saxton Ck'!L8)</f>
        <v>A</v>
      </c>
      <c r="G26" s="63" t="str">
        <f>IF(ISBLANK('Orphanage Ck'!L8),"",'Orphanage Ck'!L8)</f>
        <v>A</v>
      </c>
      <c r="H26" s="117" t="str">
        <f>IF(ISBLANK('Poorman upr'!L8),"",'Poorman upr'!L8)</f>
        <v>A</v>
      </c>
      <c r="I26" s="63" t="str">
        <f>IF(ISBLANK('Poorman lwr'!L8),"",'Poorman lwr'!L8)</f>
        <v>A</v>
      </c>
      <c r="J26" s="63" t="str">
        <f>IF(ISBLANK('Jenkins lwr'!L8),"",'Jenkins lwr'!L8)</f>
        <v>A</v>
      </c>
      <c r="K26" s="63" t="str">
        <f>IF(ISBLANK(York!L8),"",York!L8)</f>
        <v>A</v>
      </c>
      <c r="L26" s="63" t="str">
        <f>IF(ISBLANK(Todds!L8),"",Todds!L8)</f>
        <v>A</v>
      </c>
      <c r="M26" s="63" t="str">
        <f>IF(ISBLANK(Hillwood!L8),"",Hillwood!L8)</f>
        <v>A</v>
      </c>
      <c r="N26" s="63" t="str">
        <f>IF(ISBLANK('Brook upr'!L8),"",'Brook upr'!L8)</f>
        <v>A</v>
      </c>
      <c r="O26" s="63" t="str">
        <f>IF(ISBLANK('Brook lwr'!L8),"",'Brook lwr'!L8)</f>
        <v>A</v>
      </c>
      <c r="P26" s="63" t="str">
        <f>IF(ISBLANK('Maitai upr'!L8),"",'Maitai upr'!L8)</f>
        <v>A</v>
      </c>
      <c r="Q26" s="63" t="str">
        <f>IF(ISBLANK('Maitai u_m'!L8),"",'Maitai u_m'!L8)</f>
        <v>A</v>
      </c>
      <c r="R26" s="63" t="str">
        <f>IF(ISBLANK('Maitai lwr'!L8),"",'Maitai lwr'!L8)</f>
        <v>A</v>
      </c>
      <c r="S26" s="63" t="str">
        <f>IF(ISBLANK(Sharland!L8),"",Sharland!L8)</f>
        <v>A</v>
      </c>
      <c r="T26" s="63" t="str">
        <f>IF(ISBLANK(Groom!L8),"",Groom!L8)</f>
        <v>A</v>
      </c>
      <c r="U26" s="63" t="str">
        <f>IF(ISBLANK('Wakapuaka upr'!L8),"",'Wakapuaka upr'!L8)</f>
        <v>A</v>
      </c>
      <c r="V26" s="63" t="str">
        <f>IF(ISBLANK('Wakapuaka mid'!L8),"",'Wakapuaka mid'!L8)</f>
        <v>A</v>
      </c>
      <c r="W26" s="63" t="str">
        <f>IF(ISBLANK('Wakapuaka lwr'!L8),"",'Wakapuaka lwr'!L8)</f>
        <v>A</v>
      </c>
      <c r="X26" s="63" t="str">
        <f>IF(ISBLANK('Teal upr'!L8),"",'Teal upr'!L8)</f>
        <v>A</v>
      </c>
      <c r="Y26" s="63" t="str">
        <f>IF(ISBLANK('Lud upr'!L8),"",'Lud upr'!L8)</f>
        <v>A</v>
      </c>
      <c r="Z26" s="63" t="str">
        <f>IF(ISBLANK('Lud lwr'!L8),"",'Lud lwr'!L8)</f>
        <v>A</v>
      </c>
      <c r="AA26" s="63" t="str">
        <f>IF(ISBLANK(Pritchards!L8),"",Pritchards!L8)</f>
        <v>A</v>
      </c>
      <c r="AB26" s="63" t="str">
        <f>IF(ISBLANK('Whangamoa upr'!L8),"",'Whangamoa upr'!L8)</f>
        <v>A</v>
      </c>
      <c r="AC26" s="63" t="str">
        <f>IF(ISBLANK('Whangamoa lwr'!L8),"",'Whangamoa lwr'!L8)</f>
        <v>A</v>
      </c>
      <c r="AD26" s="63" t="str">
        <f>IF(ISBLANK(Graham!L8),"",Graham!L8)</f>
        <v>A</v>
      </c>
      <c r="AE26" s="63" t="str">
        <f>IF(ISBLANK(Collins!L8),"",Collins!L8)</f>
        <v>A</v>
      </c>
      <c r="AF26" s="63" t="str">
        <f>IF(ISBLANK(Dencker!L8),"",Dencker!L8)</f>
        <v>A</v>
      </c>
    </row>
    <row r="27" spans="1:32" ht="12.75">
      <c r="A27" s="13">
        <v>1</v>
      </c>
      <c r="C27" s="179">
        <v>0.5</v>
      </c>
      <c r="D27" s="7" t="s">
        <v>9</v>
      </c>
      <c r="E27" s="7"/>
      <c r="F27" s="63" t="str">
        <f>IF(ISBLANK('Saxton Ck'!L9),"",'Saxton Ck'!L9)</f>
        <v>D</v>
      </c>
      <c r="G27" s="63" t="str">
        <f>IF(ISBLANK('Orphanage Ck'!L9),"",'Orphanage Ck'!L9)</f>
        <v>A</v>
      </c>
      <c r="H27" s="117" t="str">
        <f>IF(ISBLANK('Poorman upr'!L9),"",'Poorman upr'!L9)</f>
        <v>B</v>
      </c>
      <c r="I27" s="63" t="str">
        <f>IF(ISBLANK('Poorman lwr'!L9),"",'Poorman lwr'!L9)</f>
        <v>C</v>
      </c>
      <c r="J27" s="63" t="str">
        <f>IF(ISBLANK('Jenkins lwr'!L9),"",'Jenkins lwr'!L9)</f>
        <v>C</v>
      </c>
      <c r="K27" s="63" t="str">
        <f>IF(ISBLANK(York!L9),"",York!L9)</f>
        <v>C</v>
      </c>
      <c r="L27" s="63" t="str">
        <f>IF(ISBLANK(Todds!L9),"",Todds!L9)</f>
        <v>B</v>
      </c>
      <c r="M27" s="63" t="str">
        <f>IF(ISBLANK(Hillwood!L9),"",Hillwood!L9)</f>
        <v>C</v>
      </c>
      <c r="N27" s="63" t="str">
        <f>IF(ISBLANK('Brook upr'!L9),"",'Brook upr'!L9)</f>
        <v>A</v>
      </c>
      <c r="O27" s="63" t="str">
        <f>IF(ISBLANK('Brook lwr'!L9),"",'Brook lwr'!L9)</f>
        <v>B</v>
      </c>
      <c r="P27" s="63" t="str">
        <f>IF(ISBLANK('Maitai upr'!L9),"",'Maitai upr'!L9)</f>
        <v>A</v>
      </c>
      <c r="Q27" s="63" t="str">
        <f>IF(ISBLANK('Maitai u_m'!L9),"",'Maitai u_m'!L9)</f>
        <v>C</v>
      </c>
      <c r="R27" s="63" t="str">
        <f>IF(ISBLANK('Maitai lwr'!L9),"",'Maitai lwr'!L9)</f>
        <v>C</v>
      </c>
      <c r="S27" s="63" t="str">
        <f>IF(ISBLANK(Sharland!L9),"",Sharland!L9)</f>
        <v>B</v>
      </c>
      <c r="T27" s="63" t="str">
        <f>IF(ISBLANK(Groom!L9),"",Groom!L9)</f>
        <v>A</v>
      </c>
      <c r="U27" s="63" t="str">
        <f>IF(ISBLANK('Wakapuaka upr'!L9),"",'Wakapuaka upr'!L9)</f>
        <v>B</v>
      </c>
      <c r="V27" s="63" t="str">
        <f>IF(ISBLANK('Wakapuaka mid'!L9),"",'Wakapuaka mid'!L9)</f>
        <v>B</v>
      </c>
      <c r="W27" s="63" t="str">
        <f>IF(ISBLANK('Wakapuaka lwr'!L9),"",'Wakapuaka lwr'!L9)</f>
        <v>C</v>
      </c>
      <c r="X27" s="63" t="str">
        <f>IF(ISBLANK('Teal upr'!L9),"",'Teal upr'!L9)</f>
        <v>C</v>
      </c>
      <c r="Y27" s="63" t="str">
        <f>IF(ISBLANK('Lud upr'!L9),"",'Lud upr'!L9)</f>
        <v>B</v>
      </c>
      <c r="Z27" s="63" t="str">
        <f>IF(ISBLANK('Lud lwr'!L9),"",'Lud lwr'!L9)</f>
        <v>B</v>
      </c>
      <c r="AA27" s="63" t="str">
        <f>IF(ISBLANK(Pritchards!L9),"",Pritchards!L9)</f>
        <v>A</v>
      </c>
      <c r="AB27" s="63" t="str">
        <f>IF(ISBLANK('Whangamoa upr'!L9),"",'Whangamoa upr'!L9)</f>
        <v>A</v>
      </c>
      <c r="AC27" s="63" t="str">
        <f>IF(ISBLANK('Whangamoa lwr'!L9),"",'Whangamoa lwr'!L9)</f>
        <v>A</v>
      </c>
      <c r="AD27" s="63" t="str">
        <f>IF(ISBLANK(Graham!L9),"",Graham!L9)</f>
        <v>A</v>
      </c>
      <c r="AE27" s="63" t="str">
        <f>IF(ISBLANK(Collins!L9),"",Collins!L9)</f>
        <v>A</v>
      </c>
      <c r="AF27" s="63" t="str">
        <f>IF(ISBLANK(Dencker!L9),"",Dencker!L9)</f>
        <v>A</v>
      </c>
    </row>
    <row r="28" spans="1:32" ht="12.75">
      <c r="A28" s="12"/>
      <c r="C28" s="12"/>
      <c r="D28" s="6" t="s">
        <v>10</v>
      </c>
      <c r="E28" s="6"/>
      <c r="F28" s="63">
        <f>IF(ISBLANK('Saxton Ck'!L10),"",'Saxton Ck'!L10)</f>
      </c>
      <c r="G28" s="63">
        <f>IF(ISBLANK('Orphanage Ck'!L10),"",'Orphanage Ck'!L10)</f>
      </c>
      <c r="H28" s="117">
        <f>IF(ISBLANK('Poorman upr'!L10),"",'Poorman upr'!L10)</f>
      </c>
      <c r="I28" s="63">
        <f>IF(ISBLANK('Poorman lwr'!L10),"",'Poorman lwr'!L10)</f>
      </c>
      <c r="J28" s="63">
        <f>IF(ISBLANK('Jenkins lwr'!L10),"",'Jenkins lwr'!L10)</f>
      </c>
      <c r="K28" s="63">
        <f>IF(ISBLANK(York!L10),"",York!L10)</f>
      </c>
      <c r="L28" s="63">
        <f>IF(ISBLANK(Todds!L10),"",Todds!L10)</f>
      </c>
      <c r="M28" s="63">
        <f>IF(ISBLANK(Hillwood!L10),"",Hillwood!L10)</f>
      </c>
      <c r="N28" s="63">
        <f>IF(ISBLANK('Brook upr'!L10),"",'Brook upr'!L10)</f>
      </c>
      <c r="O28" s="63">
        <f>IF(ISBLANK('Brook lwr'!L10),"",'Brook lwr'!L10)</f>
      </c>
      <c r="P28" s="63">
        <f>IF(ISBLANK('Maitai upr'!L10),"",'Maitai upr'!L10)</f>
      </c>
      <c r="Q28" s="63">
        <f>IF(ISBLANK('Maitai u_m'!L10),"",'Maitai u_m'!L10)</f>
      </c>
      <c r="R28" s="63">
        <f>IF(ISBLANK('Maitai lwr'!L10),"",'Maitai lwr'!L10)</f>
      </c>
      <c r="S28" s="63">
        <f>IF(ISBLANK(Sharland!L10),"",Sharland!L10)</f>
      </c>
      <c r="T28" s="63">
        <f>IF(ISBLANK(Groom!L10),"",Groom!L10)</f>
      </c>
      <c r="U28" s="63">
        <f>IF(ISBLANK('Wakapuaka upr'!L10),"",'Wakapuaka upr'!L10)</f>
      </c>
      <c r="V28" s="63">
        <f>IF(ISBLANK('Wakapuaka mid'!L10),"",'Wakapuaka mid'!L10)</f>
      </c>
      <c r="W28" s="63">
        <f>IF(ISBLANK('Wakapuaka lwr'!L10),"",'Wakapuaka lwr'!L10)</f>
      </c>
      <c r="X28" s="63">
        <f>IF(ISBLANK('Teal upr'!L10),"",'Teal upr'!L10)</f>
      </c>
      <c r="Y28" s="63">
        <f>IF(ISBLANK('Lud upr'!L10),"",'Lud upr'!L10)</f>
      </c>
      <c r="Z28" s="63">
        <f>IF(ISBLANK('Lud lwr'!L10),"",'Lud lwr'!L10)</f>
      </c>
      <c r="AA28" s="63">
        <f>IF(ISBLANK(Pritchards!L10),"",Pritchards!L10)</f>
      </c>
      <c r="AB28" s="63">
        <f>IF(ISBLANK('Whangamoa upr'!L10),"",'Whangamoa upr'!L10)</f>
      </c>
      <c r="AC28" s="63">
        <f>IF(ISBLANK('Whangamoa lwr'!L10),"",'Whangamoa lwr'!L10)</f>
      </c>
      <c r="AD28" s="63">
        <f>IF(ISBLANK(Graham!L10),"",Graham!L10)</f>
      </c>
      <c r="AE28" s="63">
        <f>IF(ISBLANK(Collins!L10),"",Collins!L10)</f>
      </c>
      <c r="AF28" s="63">
        <f>IF(ISBLANK(Dencker!L10),"",Dencker!L10)</f>
      </c>
    </row>
    <row r="29" spans="1:32" ht="12.75">
      <c r="A29" s="12"/>
      <c r="C29" s="12"/>
      <c r="D29" s="8" t="s">
        <v>11</v>
      </c>
      <c r="E29" s="8"/>
      <c r="F29" s="63">
        <f>IF(ISBLANK('Saxton Ck'!L11),"",'Saxton Ck'!L11)</f>
      </c>
      <c r="G29" s="63">
        <f>IF(ISBLANK('Orphanage Ck'!L11),"",'Orphanage Ck'!L11)</f>
      </c>
      <c r="H29" s="117">
        <f>IF(ISBLANK('Poorman upr'!L11),"",'Poorman upr'!L11)</f>
      </c>
      <c r="I29" s="63">
        <f>IF(ISBLANK('Poorman lwr'!L11),"",'Poorman lwr'!L11)</f>
      </c>
      <c r="J29" s="63">
        <f>IF(ISBLANK('Jenkins lwr'!L11),"",'Jenkins lwr'!L11)</f>
      </c>
      <c r="K29" s="63">
        <f>IF(ISBLANK(York!L11),"",York!L11)</f>
      </c>
      <c r="L29" s="63">
        <f>IF(ISBLANK(Todds!L11),"",Todds!L11)</f>
      </c>
      <c r="M29" s="63">
        <f>IF(ISBLANK(Hillwood!L11),"",Hillwood!L11)</f>
      </c>
      <c r="N29" s="63">
        <f>IF(ISBLANK('Brook upr'!L11),"",'Brook upr'!L11)</f>
      </c>
      <c r="O29" s="63">
        <f>IF(ISBLANK('Brook lwr'!L11),"",'Brook lwr'!L11)</f>
      </c>
      <c r="P29" s="63">
        <f>IF(ISBLANK('Maitai upr'!L11),"",'Maitai upr'!L11)</f>
      </c>
      <c r="Q29" s="63">
        <f>IF(ISBLANK('Maitai u_m'!L11),"",'Maitai u_m'!L11)</f>
      </c>
      <c r="R29" s="63">
        <f>IF(ISBLANK('Maitai lwr'!L11),"",'Maitai lwr'!L11)</f>
      </c>
      <c r="S29" s="63">
        <f>IF(ISBLANK(Sharland!L11),"",Sharland!L11)</f>
      </c>
      <c r="T29" s="63">
        <f>IF(ISBLANK(Groom!L11),"",Groom!L11)</f>
      </c>
      <c r="U29" s="63">
        <f>IF(ISBLANK('Wakapuaka upr'!L11),"",'Wakapuaka upr'!L11)</f>
      </c>
      <c r="V29" s="63">
        <f>IF(ISBLANK('Wakapuaka mid'!L11),"",'Wakapuaka mid'!L11)</f>
      </c>
      <c r="W29" s="63">
        <f>IF(ISBLANK('Wakapuaka lwr'!L11),"",'Wakapuaka lwr'!L11)</f>
      </c>
      <c r="X29" s="63">
        <f>IF(ISBLANK('Teal upr'!L11),"",'Teal upr'!L11)</f>
      </c>
      <c r="Y29" s="63">
        <f>IF(ISBLANK('Lud upr'!L11),"",'Lud upr'!L11)</f>
      </c>
      <c r="Z29" s="63">
        <f>IF(ISBLANK('Lud lwr'!L11),"",'Lud lwr'!L11)</f>
      </c>
      <c r="AA29" s="63">
        <f>IF(ISBLANK(Pritchards!L11),"",Pritchards!L11)</f>
      </c>
      <c r="AB29" s="63">
        <f>IF(ISBLANK('Whangamoa upr'!L11),"",'Whangamoa upr'!L11)</f>
      </c>
      <c r="AC29" s="63">
        <f>IF(ISBLANK('Whangamoa lwr'!L11),"",'Whangamoa lwr'!L11)</f>
      </c>
      <c r="AD29" s="63">
        <f>IF(ISBLANK(Graham!L11),"",Graham!L11)</f>
      </c>
      <c r="AE29" s="63">
        <f>IF(ISBLANK(Collins!L11),"",Collins!L11)</f>
      </c>
      <c r="AF29" s="63">
        <f>IF(ISBLANK(Dencker!L11),"",Dencker!L11)</f>
      </c>
    </row>
    <row r="30" spans="1:32" ht="12.75">
      <c r="A30" s="12">
        <v>0.5</v>
      </c>
      <c r="C30" s="12">
        <v>0.5</v>
      </c>
      <c r="D30" s="4" t="s">
        <v>12</v>
      </c>
      <c r="E30" s="4"/>
      <c r="F30" s="63" t="str">
        <f>IF(ISBLANK('Saxton Ck'!L12),"",'Saxton Ck'!L12)</f>
        <v>E</v>
      </c>
      <c r="G30" s="63" t="str">
        <f>IF(ISBLANK('Orphanage Ck'!L12),"",'Orphanage Ck'!L12)</f>
        <v>C</v>
      </c>
      <c r="H30" s="117" t="str">
        <f>IF(ISBLANK('Poorman upr'!L12),"",'Poorman upr'!L12)</f>
        <v>B</v>
      </c>
      <c r="I30" s="63" t="str">
        <f>IF(ISBLANK('Poorman lwr'!L12),"",'Poorman lwr'!L12)</f>
        <v>B</v>
      </c>
      <c r="J30" s="63" t="str">
        <f>IF(ISBLANK('Jenkins lwr'!L12),"",'Jenkins lwr'!L12)</f>
        <v>C</v>
      </c>
      <c r="K30" s="63" t="str">
        <f>IF(ISBLANK(York!L12),"",York!L12)</f>
        <v>C</v>
      </c>
      <c r="L30" s="63" t="str">
        <f>IF(ISBLANK(Todds!L12),"",Todds!L12)</f>
        <v>D</v>
      </c>
      <c r="M30" s="63" t="str">
        <f>IF(ISBLANK(Hillwood!L12),"",Hillwood!L12)</f>
        <v>C</v>
      </c>
      <c r="N30" s="63" t="str">
        <f>IF(ISBLANK('Brook upr'!L12),"",'Brook upr'!L12)</f>
        <v>A</v>
      </c>
      <c r="O30" s="63" t="str">
        <f>IF(ISBLANK('Brook lwr'!L12),"",'Brook lwr'!L12)</f>
        <v>B</v>
      </c>
      <c r="P30" s="63" t="str">
        <f>IF(ISBLANK('Maitai upr'!L12),"",'Maitai upr'!L12)</f>
        <v>A</v>
      </c>
      <c r="Q30" s="63" t="str">
        <f>IF(ISBLANK('Maitai u_m'!L12),"",'Maitai u_m'!L12)</f>
        <v>B</v>
      </c>
      <c r="R30" s="63" t="str">
        <f>IF(ISBLANK('Maitai lwr'!L12),"",'Maitai lwr'!L12)</f>
        <v>B</v>
      </c>
      <c r="S30" s="63" t="str">
        <f>IF(ISBLANK(Sharland!L12),"",Sharland!L12)</f>
        <v>B</v>
      </c>
      <c r="T30" s="63" t="str">
        <f>IF(ISBLANK(Groom!L12),"",Groom!L12)</f>
        <v>B</v>
      </c>
      <c r="U30" s="63" t="str">
        <f>IF(ISBLANK('Wakapuaka upr'!L12),"",'Wakapuaka upr'!L12)</f>
        <v>A</v>
      </c>
      <c r="V30" s="63" t="str">
        <f>IF(ISBLANK('Wakapuaka mid'!L12),"",'Wakapuaka mid'!L12)</f>
        <v>B</v>
      </c>
      <c r="W30" s="63" t="str">
        <f>IF(ISBLANK('Wakapuaka lwr'!L12),"",'Wakapuaka lwr'!L12)</f>
        <v>A</v>
      </c>
      <c r="X30" s="63" t="str">
        <f>IF(ISBLANK('Teal upr'!L12),"",'Teal upr'!L12)</f>
        <v>A</v>
      </c>
      <c r="Y30" s="63" t="str">
        <f>IF(ISBLANK('Lud upr'!L12),"",'Lud upr'!L12)</f>
        <v>B</v>
      </c>
      <c r="Z30" s="63" t="str">
        <f>IF(ISBLANK('Lud lwr'!L12),"",'Lud lwr'!L12)</f>
        <v>B</v>
      </c>
      <c r="AA30" s="63" t="str">
        <f>IF(ISBLANK(Pritchards!L12),"",Pritchards!L12)</f>
        <v>A</v>
      </c>
      <c r="AB30" s="63" t="str">
        <f>IF(ISBLANK('Whangamoa upr'!L12),"",'Whangamoa upr'!L12)</f>
        <v>A</v>
      </c>
      <c r="AC30" s="63" t="str">
        <f>IF(ISBLANK('Whangamoa lwr'!L12),"",'Whangamoa lwr'!L12)</f>
        <v>A</v>
      </c>
      <c r="AD30" s="63" t="str">
        <f>IF(ISBLANK(Graham!L12),"",Graham!L12)</f>
        <v>A</v>
      </c>
      <c r="AE30" s="63" t="str">
        <f>IF(ISBLANK(Collins!L12),"",Collins!L12)</f>
        <v>B</v>
      </c>
      <c r="AF30" s="63" t="str">
        <f>IF(ISBLANK(Dencker!L12),"",Dencker!L12)</f>
        <v>B</v>
      </c>
    </row>
    <row r="31" spans="1:32" ht="12.75">
      <c r="A31" s="12">
        <v>0.5</v>
      </c>
      <c r="C31" s="12">
        <v>0.5</v>
      </c>
      <c r="D31" s="6" t="s">
        <v>13</v>
      </c>
      <c r="E31" s="6"/>
      <c r="F31" s="63" t="str">
        <f>IF(ISBLANK('Saxton Ck'!L13),"",'Saxton Ck'!L13)</f>
        <v>D</v>
      </c>
      <c r="G31" s="63" t="str">
        <f>IF(ISBLANK('Orphanage Ck'!L13),"",'Orphanage Ck'!L13)</f>
        <v>D</v>
      </c>
      <c r="H31" s="117" t="str">
        <f>IF(ISBLANK('Poorman upr'!L13),"",'Poorman upr'!L13)</f>
        <v>C</v>
      </c>
      <c r="I31" s="63" t="str">
        <f>IF(ISBLANK('Poorman lwr'!L13),"",'Poorman lwr'!L13)</f>
        <v>C</v>
      </c>
      <c r="J31" s="63" t="str">
        <f>IF(ISBLANK('Jenkins lwr'!L13),"",'Jenkins lwr'!L13)</f>
        <v>D</v>
      </c>
      <c r="K31" s="63" t="str">
        <f>IF(ISBLANK(York!L13),"",York!L13)</f>
        <v>D</v>
      </c>
      <c r="L31" s="63" t="str">
        <f>IF(ISBLANK(Todds!L13),"",Todds!L13)</f>
        <v>D</v>
      </c>
      <c r="M31" s="63" t="str">
        <f>IF(ISBLANK(Hillwood!L13),"",Hillwood!L13)</f>
        <v>D</v>
      </c>
      <c r="N31" s="63" t="str">
        <f>IF(ISBLANK('Brook upr'!L13),"",'Brook upr'!L13)</f>
        <v>B</v>
      </c>
      <c r="O31" s="63" t="str">
        <f>IF(ISBLANK('Brook lwr'!L13),"",'Brook lwr'!L13)</f>
        <v>C</v>
      </c>
      <c r="P31" s="63" t="str">
        <f>IF(ISBLANK('Maitai upr'!L13),"",'Maitai upr'!L13)</f>
        <v>A</v>
      </c>
      <c r="Q31" s="63" t="str">
        <f>IF(ISBLANK('Maitai u_m'!L13),"",'Maitai u_m'!L13)</f>
        <v>B</v>
      </c>
      <c r="R31" s="63" t="str">
        <f>IF(ISBLANK('Maitai lwr'!L13),"",'Maitai lwr'!L13)</f>
        <v>C</v>
      </c>
      <c r="S31" s="63" t="str">
        <f>IF(ISBLANK(Sharland!L13),"",Sharland!L13)</f>
        <v>C</v>
      </c>
      <c r="T31" s="63" t="str">
        <f>IF(ISBLANK(Groom!L13),"",Groom!L13)</f>
        <v>C</v>
      </c>
      <c r="U31" s="63" t="str">
        <f>IF(ISBLANK('Wakapuaka upr'!L13),"",'Wakapuaka upr'!L13)</f>
        <v>B</v>
      </c>
      <c r="V31" s="63" t="str">
        <f>IF(ISBLANK('Wakapuaka mid'!L13),"",'Wakapuaka mid'!L13)</f>
        <v>B</v>
      </c>
      <c r="W31" s="63" t="str">
        <f>IF(ISBLANK('Wakapuaka lwr'!L13),"",'Wakapuaka lwr'!L13)</f>
        <v>B</v>
      </c>
      <c r="X31" s="63" t="str">
        <f>IF(ISBLANK('Teal upr'!L13),"",'Teal upr'!L13)</f>
        <v>B</v>
      </c>
      <c r="Y31" s="63" t="str">
        <f>IF(ISBLANK('Lud upr'!L13),"",'Lud upr'!L13)</f>
        <v>D</v>
      </c>
      <c r="Z31" s="63" t="str">
        <f>IF(ISBLANK('Lud lwr'!L13),"",'Lud lwr'!L13)</f>
        <v>D</v>
      </c>
      <c r="AA31" s="63" t="str">
        <f>IF(ISBLANK(Pritchards!L13),"",Pritchards!L13)</f>
        <v>B</v>
      </c>
      <c r="AB31" s="63" t="str">
        <f>IF(ISBLANK('Whangamoa upr'!L13),"",'Whangamoa upr'!L13)</f>
        <v>B</v>
      </c>
      <c r="AC31" s="63" t="str">
        <f>IF(ISBLANK('Whangamoa lwr'!L13),"",'Whangamoa lwr'!L13)</f>
        <v>B</v>
      </c>
      <c r="AD31" s="63" t="str">
        <f>IF(ISBLANK(Graham!L13),"",Graham!L13)</f>
        <v>C</v>
      </c>
      <c r="AE31" s="63" t="str">
        <f>IF(ISBLANK(Collins!L13),"",Collins!L13)</f>
        <v>C</v>
      </c>
      <c r="AF31" s="63" t="str">
        <f>IF(ISBLANK(Dencker!L13),"",Dencker!L13)</f>
        <v>C</v>
      </c>
    </row>
    <row r="32" spans="1:32" ht="12.75">
      <c r="A32" s="12"/>
      <c r="C32" s="12"/>
      <c r="D32" s="8" t="s">
        <v>14</v>
      </c>
      <c r="E32" s="8"/>
      <c r="F32" s="63">
        <f>IF(ISBLANK('Saxton Ck'!L14),"",'Saxton Ck'!L14)</f>
      </c>
      <c r="G32" s="63">
        <f>IF(ISBLANK('Orphanage Ck'!L14),"",'Orphanage Ck'!L14)</f>
      </c>
      <c r="H32" s="117">
        <f>IF(ISBLANK('Poorman upr'!L14),"",'Poorman upr'!L14)</f>
      </c>
      <c r="I32" s="63">
        <f>IF(ISBLANK('Poorman lwr'!L14),"",'Poorman lwr'!L14)</f>
      </c>
      <c r="J32" s="63">
        <f>IF(ISBLANK('Jenkins lwr'!L14),"",'Jenkins lwr'!L14)</f>
      </c>
      <c r="K32" s="63">
        <f>IF(ISBLANK(York!L14),"",York!L14)</f>
      </c>
      <c r="L32" s="63">
        <f>IF(ISBLANK(Todds!L14),"",Todds!L14)</f>
      </c>
      <c r="M32" s="63">
        <f>IF(ISBLANK(Hillwood!L14),"",Hillwood!L14)</f>
      </c>
      <c r="N32" s="63">
        <f>IF(ISBLANK('Brook upr'!L14),"",'Brook upr'!L14)</f>
      </c>
      <c r="O32" s="63">
        <f>IF(ISBLANK('Brook lwr'!L14),"",'Brook lwr'!L14)</f>
      </c>
      <c r="P32" s="63">
        <f>IF(ISBLANK('Maitai upr'!L14),"",'Maitai upr'!L14)</f>
      </c>
      <c r="Q32" s="63">
        <f>IF(ISBLANK('Maitai u_m'!L14),"",'Maitai u_m'!L14)</f>
      </c>
      <c r="R32" s="63">
        <f>IF(ISBLANK('Maitai lwr'!L14),"",'Maitai lwr'!L14)</f>
      </c>
      <c r="S32" s="63">
        <f>IF(ISBLANK(Sharland!L14),"",Sharland!L14)</f>
      </c>
      <c r="T32" s="63">
        <f>IF(ISBLANK(Groom!L14),"",Groom!L14)</f>
      </c>
      <c r="U32" s="63">
        <f>IF(ISBLANK('Wakapuaka upr'!L14),"",'Wakapuaka upr'!L14)</f>
      </c>
      <c r="V32" s="63">
        <f>IF(ISBLANK('Wakapuaka mid'!L14),"",'Wakapuaka mid'!L14)</f>
      </c>
      <c r="W32" s="63">
        <f>IF(ISBLANK('Wakapuaka lwr'!L14),"",'Wakapuaka lwr'!L14)</f>
      </c>
      <c r="X32" s="63">
        <f>IF(ISBLANK('Teal upr'!L14),"",'Teal upr'!L14)</f>
      </c>
      <c r="Y32" s="63">
        <f>IF(ISBLANK('Lud upr'!L14),"",'Lud upr'!L14)</f>
      </c>
      <c r="Z32" s="63">
        <f>IF(ISBLANK('Lud lwr'!L14),"",'Lud lwr'!L14)</f>
      </c>
      <c r="AA32" s="63">
        <f>IF(ISBLANK(Pritchards!L14),"",Pritchards!L14)</f>
      </c>
      <c r="AB32" s="63">
        <f>IF(ISBLANK('Whangamoa upr'!L14),"",'Whangamoa upr'!L14)</f>
      </c>
      <c r="AC32" s="63">
        <f>IF(ISBLANK('Whangamoa lwr'!L14),"",'Whangamoa lwr'!L14)</f>
      </c>
      <c r="AD32" s="63">
        <f>IF(ISBLANK(Graham!L14),"",Graham!L14)</f>
      </c>
      <c r="AE32" s="63">
        <f>IF(ISBLANK(Collins!L14),"",Collins!L14)</f>
      </c>
      <c r="AF32" s="63">
        <f>IF(ISBLANK(Dencker!L14),"",Dencker!L14)</f>
      </c>
    </row>
    <row r="33" spans="1:32" ht="12.75">
      <c r="A33" s="14">
        <v>0.5</v>
      </c>
      <c r="C33" s="14">
        <v>0.5</v>
      </c>
      <c r="D33" s="8" t="s">
        <v>15</v>
      </c>
      <c r="E33" s="8"/>
      <c r="F33" s="63" t="str">
        <f>IF(ISBLANK('Saxton Ck'!L15),"",'Saxton Ck'!L15)</f>
        <v>E</v>
      </c>
      <c r="G33" s="63" t="str">
        <f>IF(ISBLANK('Orphanage Ck'!L15),"",'Orphanage Ck'!L15)</f>
        <v>D</v>
      </c>
      <c r="H33" s="117" t="str">
        <f>IF(ISBLANK('Poorman upr'!L15),"",'Poorman upr'!L15)</f>
        <v>B</v>
      </c>
      <c r="I33" s="63" t="str">
        <f>IF(ISBLANK('Poorman lwr'!L15),"",'Poorman lwr'!L15)</f>
        <v>C</v>
      </c>
      <c r="J33" s="63" t="str">
        <f>IF(ISBLANK('Jenkins lwr'!L15),"",'Jenkins lwr'!L15)</f>
        <v>D</v>
      </c>
      <c r="K33" s="63" t="str">
        <f>IF(ISBLANK(York!L15),"",York!L15)</f>
        <v>D</v>
      </c>
      <c r="L33" s="63" t="str">
        <f>IF(ISBLANK(Todds!L15),"",Todds!L15)</f>
        <v>C</v>
      </c>
      <c r="M33" s="63" t="str">
        <f>IF(ISBLANK(Hillwood!L15),"",Hillwood!L15)</f>
        <v>C</v>
      </c>
      <c r="N33" s="63" t="str">
        <f>IF(ISBLANK('Brook upr'!L15),"",'Brook upr'!L15)</f>
        <v>B</v>
      </c>
      <c r="O33" s="63" t="str">
        <f>IF(ISBLANK('Brook lwr'!L15),"",'Brook lwr'!L15)</f>
        <v>C</v>
      </c>
      <c r="P33" s="63" t="str">
        <f>IF(ISBLANK('Maitai upr'!L15),"",'Maitai upr'!L15)</f>
        <v>A</v>
      </c>
      <c r="Q33" s="63" t="str">
        <f>IF(ISBLANK('Maitai u_m'!L15),"",'Maitai u_m'!L15)</f>
        <v>B</v>
      </c>
      <c r="R33" s="63" t="str">
        <f>IF(ISBLANK('Maitai lwr'!L15),"",'Maitai lwr'!L15)</f>
        <v>B</v>
      </c>
      <c r="S33" s="63" t="str">
        <f>IF(ISBLANK(Sharland!L15),"",Sharland!L15)</f>
        <v>B</v>
      </c>
      <c r="T33" s="63" t="str">
        <f>IF(ISBLANK(Groom!L15),"",Groom!L15)</f>
        <v>B</v>
      </c>
      <c r="U33" s="63" t="str">
        <f>IF(ISBLANK('Wakapuaka upr'!L15),"",'Wakapuaka upr'!L15)</f>
        <v>B</v>
      </c>
      <c r="V33" s="63" t="str">
        <f>IF(ISBLANK('Wakapuaka mid'!L15),"",'Wakapuaka mid'!L15)</f>
        <v>B</v>
      </c>
      <c r="W33" s="63" t="str">
        <f>IF(ISBLANK('Wakapuaka lwr'!L15),"",'Wakapuaka lwr'!L15)</f>
        <v>B</v>
      </c>
      <c r="X33" s="63" t="str">
        <f>IF(ISBLANK('Teal upr'!L15),"",'Teal upr'!L15)</f>
        <v>B</v>
      </c>
      <c r="Y33" s="63" t="str">
        <f>IF(ISBLANK('Lud upr'!L15),"",'Lud upr'!L15)</f>
        <v>D</v>
      </c>
      <c r="Z33" s="63" t="str">
        <f>IF(ISBLANK('Lud lwr'!L15),"",'Lud lwr'!L15)</f>
        <v>D</v>
      </c>
      <c r="AA33" s="63" t="str">
        <f>IF(ISBLANK(Pritchards!L15),"",Pritchards!L15)</f>
        <v>B</v>
      </c>
      <c r="AB33" s="63" t="str">
        <f>IF(ISBLANK('Whangamoa upr'!L15),"",'Whangamoa upr'!L15)</f>
        <v>B</v>
      </c>
      <c r="AC33" s="63" t="str">
        <f>IF(ISBLANK('Whangamoa lwr'!L15),"",'Whangamoa lwr'!L15)</f>
        <v>B</v>
      </c>
      <c r="AD33" s="63" t="str">
        <f>IF(ISBLANK(Graham!L15),"",Graham!L15)</f>
        <v>B</v>
      </c>
      <c r="AE33" s="63" t="str">
        <f>IF(ISBLANK(Collins!L15),"",Collins!L15)</f>
        <v>B</v>
      </c>
      <c r="AF33" s="63" t="str">
        <f>IF(ISBLANK(Dencker!L15),"",Dencker!L15)</f>
        <v>B</v>
      </c>
    </row>
    <row r="34" spans="1:32" ht="12.75">
      <c r="A34" s="14">
        <v>0.5</v>
      </c>
      <c r="C34" s="14">
        <v>1</v>
      </c>
      <c r="D34" s="8" t="s">
        <v>16</v>
      </c>
      <c r="E34" s="8"/>
      <c r="F34" s="63">
        <f>IF(ISBLANK('Saxton Ck'!L16),"",'Saxton Ck'!L16)</f>
      </c>
      <c r="G34" s="63">
        <f>IF(ISBLANK('Orphanage Ck'!L16),"",'Orphanage Ck'!L16)</f>
      </c>
      <c r="H34" s="117">
        <f>IF(ISBLANK('Poorman upr'!L16),"",'Poorman upr'!L16)</f>
      </c>
      <c r="I34" s="63">
        <f>IF(ISBLANK('Poorman lwr'!L16),"",'Poorman lwr'!L16)</f>
      </c>
      <c r="J34" s="63">
        <f>IF(ISBLANK('Jenkins lwr'!L16),"",'Jenkins lwr'!L16)</f>
      </c>
      <c r="K34" s="63">
        <f>IF(ISBLANK(York!L16),"",York!L16)</f>
      </c>
      <c r="L34" s="63">
        <f>IF(ISBLANK(Todds!L16),"",Todds!L16)</f>
      </c>
      <c r="M34" s="63">
        <f>IF(ISBLANK(Hillwood!L16),"",Hillwood!L16)</f>
      </c>
      <c r="N34" s="63">
        <f>IF(ISBLANK('Brook upr'!L16),"",'Brook upr'!L16)</f>
      </c>
      <c r="O34" s="63">
        <f>IF(ISBLANK('Brook lwr'!L16),"",'Brook lwr'!L16)</f>
      </c>
      <c r="P34" s="63">
        <f>IF(ISBLANK('Maitai upr'!L16),"",'Maitai upr'!L16)</f>
      </c>
      <c r="Q34" s="63">
        <f>IF(ISBLANK('Maitai u_m'!L16),"",'Maitai u_m'!L16)</f>
      </c>
      <c r="R34" s="63">
        <f>IF(ISBLANK('Maitai lwr'!L16),"",'Maitai lwr'!L16)</f>
      </c>
      <c r="S34" s="63">
        <f>IF(ISBLANK(Sharland!L16),"",Sharland!L16)</f>
      </c>
      <c r="T34" s="63">
        <f>IF(ISBLANK(Groom!L16),"",Groom!L16)</f>
      </c>
      <c r="U34" s="63">
        <f>IF(ISBLANK('Wakapuaka upr'!L16),"",'Wakapuaka upr'!L16)</f>
      </c>
      <c r="V34" s="63">
        <f>IF(ISBLANK('Wakapuaka mid'!L16),"",'Wakapuaka mid'!L16)</f>
      </c>
      <c r="W34" s="63">
        <f>IF(ISBLANK('Wakapuaka lwr'!L16),"",'Wakapuaka lwr'!L16)</f>
      </c>
      <c r="X34" s="63">
        <f>IF(ISBLANK('Teal upr'!L16),"",'Teal upr'!L16)</f>
      </c>
      <c r="Y34" s="63">
        <f>IF(ISBLANK('Lud upr'!L16),"",'Lud upr'!L16)</f>
      </c>
      <c r="Z34" s="63">
        <f>IF(ISBLANK('Lud lwr'!L16),"",'Lud lwr'!L16)</f>
      </c>
      <c r="AA34" s="63">
        <f>IF(ISBLANK(Pritchards!L16),"",Pritchards!L16)</f>
      </c>
      <c r="AB34" s="63">
        <f>IF(ISBLANK('Whangamoa upr'!L16),"",'Whangamoa upr'!L16)</f>
      </c>
      <c r="AC34" s="63">
        <f>IF(ISBLANK('Whangamoa lwr'!L16),"",'Whangamoa lwr'!L16)</f>
      </c>
      <c r="AD34" s="63">
        <f>IF(ISBLANK(Graham!L16),"",Graham!L16)</f>
      </c>
      <c r="AE34" s="63">
        <f>IF(ISBLANK(Collins!L16),"",Collins!L16)</f>
      </c>
      <c r="AF34" s="63">
        <f>IF(ISBLANK(Dencker!L16),"",Dencker!L16)</f>
      </c>
    </row>
    <row r="35" spans="1:32" ht="12.75">
      <c r="A35" s="14">
        <v>3</v>
      </c>
      <c r="C35" s="14">
        <v>3</v>
      </c>
      <c r="D35" s="9" t="s">
        <v>17</v>
      </c>
      <c r="E35" s="9"/>
      <c r="F35" s="63" t="str">
        <f>IF(ISBLANK('Saxton Ck'!L17),"",'Saxton Ck'!L17)</f>
        <v>D</v>
      </c>
      <c r="G35" s="63" t="str">
        <f>IF(ISBLANK('Orphanage Ck'!L17),"",'Orphanage Ck'!L17)</f>
        <v>C</v>
      </c>
      <c r="H35" s="117" t="str">
        <f>IF(ISBLANK('Poorman upr'!L17),"",'Poorman upr'!L17)</f>
        <v>B</v>
      </c>
      <c r="I35" s="63" t="str">
        <f>IF(ISBLANK('Poorman lwr'!L17),"",'Poorman lwr'!L17)</f>
        <v>D</v>
      </c>
      <c r="J35" s="63" t="str">
        <f>IF(ISBLANK('Jenkins lwr'!L17),"",'Jenkins lwr'!L17)</f>
        <v>D</v>
      </c>
      <c r="K35" s="63" t="str">
        <f>IF(ISBLANK(York!L17),"",York!L17)</f>
        <v>D</v>
      </c>
      <c r="L35" s="63" t="str">
        <f>IF(ISBLANK(Todds!L17),"",Todds!L17)</f>
        <v>C</v>
      </c>
      <c r="M35" s="63" t="str">
        <f>IF(ISBLANK(Hillwood!L17),"",Hillwood!L17)</f>
        <v>C</v>
      </c>
      <c r="N35" s="63" t="str">
        <f>IF(ISBLANK('Brook upr'!L17),"",'Brook upr'!L17)</f>
        <v>A</v>
      </c>
      <c r="O35" s="63" t="str">
        <f>IF(ISBLANK('Brook lwr'!L17),"",'Brook lwr'!L17)</f>
        <v>C</v>
      </c>
      <c r="P35" s="63" t="str">
        <f>IF(ISBLANK('Maitai upr'!L17),"",'Maitai upr'!L17)</f>
        <v>A</v>
      </c>
      <c r="Q35" s="63" t="str">
        <f>IF(ISBLANK('Maitai u_m'!L17),"",'Maitai u_m'!L17)</f>
        <v>C</v>
      </c>
      <c r="R35" s="63" t="str">
        <f>IF(ISBLANK('Maitai lwr'!L17),"",'Maitai lwr'!L17)</f>
        <v>C</v>
      </c>
      <c r="S35" s="63" t="str">
        <f>IF(ISBLANK(Sharland!L17),"",Sharland!L17)</f>
        <v>B</v>
      </c>
      <c r="T35" s="63" t="str">
        <f>IF(ISBLANK(Groom!L17),"",Groom!L17)</f>
        <v>B</v>
      </c>
      <c r="U35" s="63" t="str">
        <f>IF(ISBLANK('Wakapuaka upr'!L17),"",'Wakapuaka upr'!L17)</f>
        <v>A</v>
      </c>
      <c r="V35" s="63" t="str">
        <f>IF(ISBLANK('Wakapuaka mid'!L17),"",'Wakapuaka mid'!L17)</f>
        <v>A</v>
      </c>
      <c r="W35" s="63" t="str">
        <f>IF(ISBLANK('Wakapuaka lwr'!L17),"",'Wakapuaka lwr'!L17)</f>
        <v>C</v>
      </c>
      <c r="X35" s="63" t="str">
        <f>IF(ISBLANK('Teal upr'!L17),"",'Teal upr'!L17)</f>
        <v>B</v>
      </c>
      <c r="Y35" s="63" t="str">
        <f>IF(ISBLANK('Lud upr'!L17),"",'Lud upr'!L17)</f>
        <v>B</v>
      </c>
      <c r="Z35" s="63" t="str">
        <f>IF(ISBLANK('Lud lwr'!L17),"",'Lud lwr'!L17)</f>
        <v>B</v>
      </c>
      <c r="AA35" s="63" t="str">
        <f>IF(ISBLANK(Pritchards!L17),"",Pritchards!L17)</f>
        <v>A</v>
      </c>
      <c r="AB35" s="63" t="str">
        <f>IF(ISBLANK('Whangamoa upr'!L17),"",'Whangamoa upr'!L17)</f>
        <v>A</v>
      </c>
      <c r="AC35" s="63" t="str">
        <f>IF(ISBLANK('Whangamoa lwr'!L17),"",'Whangamoa lwr'!L17)</f>
        <v>A</v>
      </c>
      <c r="AD35" s="63" t="str">
        <f>IF(ISBLANK(Graham!L17),"",Graham!L17)</f>
        <v>A</v>
      </c>
      <c r="AE35" s="63" t="str">
        <f>IF(ISBLANK(Collins!L17),"",Collins!L17)</f>
        <v>A</v>
      </c>
      <c r="AF35" s="63" t="str">
        <f>IF(ISBLANK(Dencker!L17),"",Dencker!L17)</f>
        <v>A</v>
      </c>
    </row>
    <row r="36" spans="1:32" ht="12.75">
      <c r="A36" s="14">
        <v>3</v>
      </c>
      <c r="C36" s="14">
        <v>2</v>
      </c>
      <c r="D36" s="30" t="s">
        <v>18</v>
      </c>
      <c r="E36" s="30"/>
      <c r="F36" s="63" t="str">
        <f>IF(ISBLANK('Saxton Ck'!L18),"",'Saxton Ck'!L18)</f>
        <v>D</v>
      </c>
      <c r="G36" s="63" t="str">
        <f>IF(ISBLANK('Orphanage Ck'!L18),"",'Orphanage Ck'!L18)</f>
        <v>D</v>
      </c>
      <c r="H36" s="117" t="str">
        <f>IF(ISBLANK('Poorman upr'!L18),"",'Poorman upr'!L18)</f>
        <v>C</v>
      </c>
      <c r="I36" s="63" t="str">
        <f>IF(ISBLANK('Poorman lwr'!L18),"",'Poorman lwr'!L18)</f>
        <v>E</v>
      </c>
      <c r="J36" s="63" t="str">
        <f>IF(ISBLANK('Jenkins lwr'!L18),"",'Jenkins lwr'!L18)</f>
        <v>D</v>
      </c>
      <c r="K36" s="63" t="str">
        <f>IF(ISBLANK(York!L18),"",York!L18)</f>
        <v>D</v>
      </c>
      <c r="L36" s="63" t="str">
        <f>IF(ISBLANK(Todds!L18),"",Todds!L18)</f>
        <v>D</v>
      </c>
      <c r="M36" s="63" t="str">
        <f>IF(ISBLANK(Hillwood!L18),"",Hillwood!L18)</f>
        <v>D</v>
      </c>
      <c r="N36" s="63" t="str">
        <f>IF(ISBLANK('Brook upr'!L18),"",'Brook upr'!L18)</f>
        <v>A</v>
      </c>
      <c r="O36" s="63" t="str">
        <f>IF(ISBLANK('Brook lwr'!L18),"",'Brook lwr'!L18)</f>
        <v>C</v>
      </c>
      <c r="P36" s="63" t="str">
        <f>IF(ISBLANK('Maitai upr'!L18),"",'Maitai upr'!L18)</f>
        <v>A</v>
      </c>
      <c r="Q36" s="63" t="str">
        <f>IF(ISBLANK('Maitai u_m'!L18),"",'Maitai u_m'!L18)</f>
        <v>D</v>
      </c>
      <c r="R36" s="63" t="str">
        <f>IF(ISBLANK('Maitai lwr'!L18),"",'Maitai lwr'!L18)</f>
        <v>C</v>
      </c>
      <c r="S36" s="63" t="str">
        <f>IF(ISBLANK(Sharland!L18),"",Sharland!L18)</f>
        <v>A</v>
      </c>
      <c r="T36" s="63" t="str">
        <f>IF(ISBLANK(Groom!L18),"",Groom!L18)</f>
        <v>A</v>
      </c>
      <c r="U36" s="63" t="str">
        <f>IF(ISBLANK('Wakapuaka upr'!L18),"",'Wakapuaka upr'!L18)</f>
        <v>A</v>
      </c>
      <c r="V36" s="63" t="str">
        <f>IF(ISBLANK('Wakapuaka mid'!L18),"",'Wakapuaka mid'!L18)</f>
        <v>A</v>
      </c>
      <c r="W36" s="63" t="str">
        <f>IF(ISBLANK('Wakapuaka lwr'!L18),"",'Wakapuaka lwr'!L18)</f>
        <v>C</v>
      </c>
      <c r="X36" s="63" t="str">
        <f>IF(ISBLANK('Teal upr'!L18),"",'Teal upr'!L18)</f>
        <v>A</v>
      </c>
      <c r="Y36" s="63" t="str">
        <f>IF(ISBLANK('Lud upr'!L18),"",'Lud upr'!L18)</f>
        <v>A</v>
      </c>
      <c r="Z36" s="63" t="str">
        <f>IF(ISBLANK('Lud lwr'!L18),"",'Lud lwr'!L18)</f>
        <v>A</v>
      </c>
      <c r="AA36" s="63" t="str">
        <f>IF(ISBLANK(Pritchards!L18),"",Pritchards!L18)</f>
        <v>A</v>
      </c>
      <c r="AB36" s="63" t="str">
        <f>IF(ISBLANK('Whangamoa upr'!L18),"",'Whangamoa upr'!L18)</f>
        <v>A</v>
      </c>
      <c r="AC36" s="63" t="str">
        <f>IF(ISBLANK('Whangamoa lwr'!L18),"",'Whangamoa lwr'!L18)</f>
        <v>A</v>
      </c>
      <c r="AD36" s="63" t="str">
        <f>IF(ISBLANK(Graham!L18),"",Graham!L18)</f>
        <v>A</v>
      </c>
      <c r="AE36" s="63" t="str">
        <f>IF(ISBLANK(Collins!L18),"",Collins!L18)</f>
        <v>A</v>
      </c>
      <c r="AF36" s="63" t="str">
        <f>IF(ISBLANK(Dencker!L18),"",Dencker!L18)</f>
        <v>A</v>
      </c>
    </row>
    <row r="37" spans="1:32" ht="12.75">
      <c r="A37" s="14"/>
      <c r="C37" s="14">
        <v>1</v>
      </c>
      <c r="D37" s="7" t="s">
        <v>19</v>
      </c>
      <c r="E37" s="7"/>
      <c r="F37" s="63" t="str">
        <f>IF(ISBLANK('Saxton Ck'!L19),"",'Saxton Ck'!L19)</f>
        <v>D</v>
      </c>
      <c r="G37" s="63" t="str">
        <f>IF(ISBLANK('Orphanage Ck'!L19),"",'Orphanage Ck'!L19)</f>
        <v>B</v>
      </c>
      <c r="H37" s="117" t="str">
        <f>IF(ISBLANK('Poorman upr'!L19),"",'Poorman upr'!L19)</f>
        <v>A</v>
      </c>
      <c r="I37" s="63" t="str">
        <f>IF(ISBLANK('Poorman lwr'!L19),"",'Poorman lwr'!L19)</f>
        <v>B</v>
      </c>
      <c r="J37" s="63" t="str">
        <f>IF(ISBLANK('Jenkins lwr'!L19),"",'Jenkins lwr'!L19)</f>
        <v>C</v>
      </c>
      <c r="K37" s="63" t="str">
        <f>IF(ISBLANK(York!L19),"",York!L19)</f>
        <v>A</v>
      </c>
      <c r="L37" s="63" t="str">
        <f>IF(ISBLANK(Todds!L19),"",Todds!L19)</f>
        <v>B</v>
      </c>
      <c r="M37" s="63" t="str">
        <f>IF(ISBLANK(Hillwood!L19),"",Hillwood!L19)</f>
        <v>E</v>
      </c>
      <c r="N37" s="63" t="str">
        <f>IF(ISBLANK('Brook upr'!L19),"",'Brook upr'!L19)</f>
        <v>A</v>
      </c>
      <c r="O37" s="63" t="str">
        <f>IF(ISBLANK('Brook lwr'!L19),"",'Brook lwr'!L19)</f>
        <v>A</v>
      </c>
      <c r="P37" s="63" t="str">
        <f>IF(ISBLANK('Maitai upr'!L19),"",'Maitai upr'!L19)</f>
        <v>A</v>
      </c>
      <c r="Q37" s="63" t="str">
        <f>IF(ISBLANK('Maitai u_m'!L19),"",'Maitai u_m'!L19)</f>
        <v>B</v>
      </c>
      <c r="R37" s="63" t="str">
        <f>IF(ISBLANK('Maitai lwr'!L19),"",'Maitai lwr'!L19)</f>
        <v>B</v>
      </c>
      <c r="S37" s="63" t="str">
        <f>IF(ISBLANK(Sharland!L19),"",Sharland!L19)</f>
        <v>A</v>
      </c>
      <c r="T37" s="63" t="str">
        <f>IF(ISBLANK(Groom!L19),"",Groom!L19)</f>
        <v>A</v>
      </c>
      <c r="U37" s="63" t="str">
        <f>IF(ISBLANK('Wakapuaka upr'!L19),"",'Wakapuaka upr'!L19)</f>
        <v>A</v>
      </c>
      <c r="V37" s="63" t="str">
        <f>IF(ISBLANK('Wakapuaka mid'!L19),"",'Wakapuaka mid'!L19)</f>
        <v>A</v>
      </c>
      <c r="W37" s="63" t="str">
        <f>IF(ISBLANK('Wakapuaka lwr'!L19),"",'Wakapuaka lwr'!L19)</f>
        <v>B</v>
      </c>
      <c r="X37" s="63" t="str">
        <f>IF(ISBLANK('Teal upr'!L19),"",'Teal upr'!L19)</f>
        <v>B</v>
      </c>
      <c r="Y37" s="63" t="str">
        <f>IF(ISBLANK('Lud upr'!L19),"",'Lud upr'!L19)</f>
        <v>A</v>
      </c>
      <c r="Z37" s="63" t="str">
        <f>IF(ISBLANK('Lud lwr'!L19),"",'Lud lwr'!L19)</f>
        <v>A</v>
      </c>
      <c r="AA37" s="63" t="str">
        <f>IF(ISBLANK(Pritchards!L19),"",Pritchards!L19)</f>
        <v>A</v>
      </c>
      <c r="AB37" s="63" t="str">
        <f>IF(ISBLANK('Whangamoa upr'!L19),"",'Whangamoa upr'!L19)</f>
        <v>A</v>
      </c>
      <c r="AC37" s="63" t="str">
        <f>IF(ISBLANK('Whangamoa lwr'!L19),"",'Whangamoa lwr'!L19)</f>
        <v>B</v>
      </c>
      <c r="AD37" s="63" t="str">
        <f>IF(ISBLANK(Graham!L19),"",Graham!L19)</f>
        <v>A</v>
      </c>
      <c r="AE37" s="63" t="str">
        <f>IF(ISBLANK(Collins!L19),"",Collins!L19)</f>
        <v>A</v>
      </c>
      <c r="AF37" s="63" t="str">
        <f>IF(ISBLANK(Dencker!L19),"",Dencker!L19)</f>
        <v>B</v>
      </c>
    </row>
    <row r="38" spans="1:32" ht="12.75">
      <c r="A38" s="14">
        <v>1</v>
      </c>
      <c r="C38" s="14"/>
      <c r="D38" s="9" t="s">
        <v>20</v>
      </c>
      <c r="E38" s="9"/>
      <c r="F38" s="63">
        <f>IF(ISBLANK('Saxton Ck'!L20),"",'Saxton Ck'!L20)</f>
      </c>
      <c r="G38" s="63">
        <f>IF(ISBLANK('Orphanage Ck'!L20),"",'Orphanage Ck'!L20)</f>
      </c>
      <c r="H38" s="117">
        <f>IF(ISBLANK('Poorman upr'!L20),"",'Poorman upr'!L20)</f>
      </c>
      <c r="I38" s="63">
        <f>IF(ISBLANK('Poorman lwr'!L20),"",'Poorman lwr'!L20)</f>
      </c>
      <c r="J38" s="63">
        <f>IF(ISBLANK('Jenkins lwr'!L20),"",'Jenkins lwr'!L20)</f>
      </c>
      <c r="K38" s="63">
        <f>IF(ISBLANK(York!L20),"",York!L20)</f>
      </c>
      <c r="L38" s="63">
        <f>IF(ISBLANK(Todds!L20),"",Todds!L20)</f>
      </c>
      <c r="M38" s="63">
        <f>IF(ISBLANK(Hillwood!L20),"",Hillwood!L20)</f>
      </c>
      <c r="N38" s="63">
        <f>IF(ISBLANK('Brook upr'!L20),"",'Brook upr'!L20)</f>
      </c>
      <c r="O38" s="63">
        <f>IF(ISBLANK('Brook lwr'!L20),"",'Brook lwr'!L20)</f>
      </c>
      <c r="P38" s="63">
        <f>IF(ISBLANK('Maitai upr'!L20),"",'Maitai upr'!L20)</f>
      </c>
      <c r="Q38" s="63">
        <f>IF(ISBLANK('Maitai u_m'!L20),"",'Maitai u_m'!L20)</f>
      </c>
      <c r="R38" s="63">
        <f>IF(ISBLANK('Maitai lwr'!L20),"",'Maitai lwr'!L20)</f>
      </c>
      <c r="S38" s="63">
        <f>IF(ISBLANK(Sharland!L20),"",Sharland!L20)</f>
      </c>
      <c r="T38" s="63">
        <f>IF(ISBLANK(Groom!L20),"",Groom!L20)</f>
      </c>
      <c r="U38" s="63">
        <f>IF(ISBLANK('Wakapuaka upr'!L20),"",'Wakapuaka upr'!L20)</f>
      </c>
      <c r="V38" s="63">
        <f>IF(ISBLANK('Wakapuaka mid'!L20),"",'Wakapuaka mid'!L20)</f>
      </c>
      <c r="W38" s="63">
        <f>IF(ISBLANK('Wakapuaka lwr'!L20),"",'Wakapuaka lwr'!L20)</f>
      </c>
      <c r="X38" s="63">
        <f>IF(ISBLANK('Teal upr'!L20),"",'Teal upr'!L20)</f>
      </c>
      <c r="Y38" s="63">
        <f>IF(ISBLANK('Lud upr'!L20),"",'Lud upr'!L20)</f>
      </c>
      <c r="Z38" s="63">
        <f>IF(ISBLANK('Lud lwr'!L20),"",'Lud lwr'!L20)</f>
      </c>
      <c r="AA38" s="63">
        <f>IF(ISBLANK(Pritchards!L20),"",Pritchards!L20)</f>
      </c>
      <c r="AB38" s="63">
        <f>IF(ISBLANK('Whangamoa upr'!L20),"",'Whangamoa upr'!L20)</f>
      </c>
      <c r="AC38" s="63">
        <f>IF(ISBLANK('Whangamoa lwr'!L20),"",'Whangamoa lwr'!L20)</f>
      </c>
      <c r="AD38" s="63">
        <f>IF(ISBLANK(Graham!L20),"",Graham!L20)</f>
      </c>
      <c r="AE38" s="63">
        <f>IF(ISBLANK(Collins!L20),"",Collins!L20)</f>
      </c>
      <c r="AF38" s="63">
        <f>IF(ISBLANK(Dencker!L20),"",Dencker!L20)</f>
      </c>
    </row>
    <row r="39" spans="3:32" ht="12.75">
      <c r="C39" s="15">
        <v>0.25</v>
      </c>
      <c r="D39" s="7" t="s">
        <v>21</v>
      </c>
      <c r="E39" s="7"/>
      <c r="F39" s="63" t="str">
        <f>IF(ISBLANK('Saxton Ck'!L21),"",'Saxton Ck'!L21)</f>
        <v>A - D</v>
      </c>
      <c r="G39" s="63" t="str">
        <f>IF(ISBLANK('Orphanage Ck'!L21),"",'Orphanage Ck'!L21)</f>
        <v>A - D</v>
      </c>
      <c r="H39" s="117" t="str">
        <f>IF(ISBLANK('Poorman upr'!L21),"",'Poorman upr'!L21)</f>
        <v>A - D</v>
      </c>
      <c r="I39" s="63" t="str">
        <f>IF(ISBLANK('Poorman lwr'!L21),"",'Poorman lwr'!L21)</f>
        <v>A - D</v>
      </c>
      <c r="J39" s="63" t="str">
        <f>IF(ISBLANK('Jenkins lwr'!L21),"",'Jenkins lwr'!L21)</f>
        <v>A - D</v>
      </c>
      <c r="K39" s="63" t="str">
        <f>IF(ISBLANK(York!L21),"",York!L21)</f>
        <v>A - D</v>
      </c>
      <c r="L39" s="63" t="e">
        <f>IF(ISBLANK(Todds!#REF!),"",Todds!#REF!)</f>
        <v>#REF!</v>
      </c>
      <c r="M39" s="63">
        <f>IF(ISBLANK(Hillwood!L21),"",Hillwood!L21)</f>
      </c>
      <c r="N39" s="63" t="str">
        <f>IF(ISBLANK('Brook upr'!L21),"",'Brook upr'!L21)</f>
        <v>A - D</v>
      </c>
      <c r="O39" s="63" t="str">
        <f>IF(ISBLANK('Brook lwr'!L21),"",'Brook lwr'!L21)</f>
        <v>A - D</v>
      </c>
      <c r="P39" s="63" t="str">
        <f>IF(ISBLANK('Maitai upr'!L21),"",'Maitai upr'!L21)</f>
        <v>A - D</v>
      </c>
      <c r="Q39" s="63" t="str">
        <f>IF(ISBLANK('Maitai u_m'!L21),"",'Maitai u_m'!L21)</f>
        <v>A - D</v>
      </c>
      <c r="R39" s="63" t="str">
        <f>IF(ISBLANK('Maitai lwr'!L21),"",'Maitai lwr'!L21)</f>
        <v>A - D</v>
      </c>
      <c r="S39" s="63">
        <f>IF(ISBLANK(Sharland!L21),"",Sharland!L21)</f>
      </c>
      <c r="T39" s="63">
        <f>IF(ISBLANK(Groom!L21),"",Groom!L21)</f>
      </c>
      <c r="U39" s="63">
        <f>IF(ISBLANK('Wakapuaka upr'!L21),"",'Wakapuaka upr'!L21)</f>
      </c>
      <c r="V39" s="63">
        <f>IF(ISBLANK('Wakapuaka mid'!L21),"",'Wakapuaka mid'!L21)</f>
      </c>
      <c r="W39" s="63">
        <f>IF(ISBLANK('Wakapuaka lwr'!L21),"",'Wakapuaka lwr'!L21)</f>
      </c>
      <c r="X39" s="63">
        <f>IF(ISBLANK('Teal upr'!L21),"",'Teal upr'!L21)</f>
      </c>
      <c r="Y39" s="63">
        <f>IF(ISBLANK('Lud upr'!L21),"",'Lud upr'!L21)</f>
      </c>
      <c r="Z39" s="63">
        <f>IF(ISBLANK('Lud lwr'!L21),"",'Lud lwr'!L21)</f>
      </c>
      <c r="AA39" s="63">
        <f>IF(ISBLANK(Pritchards!L21),"",Pritchards!L21)</f>
      </c>
      <c r="AB39" s="63">
        <f>IF(ISBLANK('Whangamoa upr'!L21),"",'Whangamoa upr'!L21)</f>
      </c>
      <c r="AC39" s="63">
        <f>IF(ISBLANK('Whangamoa lwr'!L21),"",'Whangamoa lwr'!L21)</f>
      </c>
      <c r="AD39" s="63">
        <f>IF(ISBLANK(Graham!L21),"",Graham!L21)</f>
      </c>
      <c r="AE39" s="63">
        <f>IF(ISBLANK(Collins!L21),"",Collins!L21)</f>
      </c>
      <c r="AF39" s="63">
        <f>IF(ISBLANK(Dencker!L21),"",Dencker!L21)</f>
      </c>
    </row>
    <row r="40" spans="3:32" ht="12.75">
      <c r="C40" s="15">
        <v>0.25</v>
      </c>
      <c r="D40" s="9" t="s">
        <v>22</v>
      </c>
      <c r="E40" s="9"/>
      <c r="F40" s="63" t="str">
        <f>IF(ISBLANK('Saxton Ck'!L22),"",'Saxton Ck'!L22)</f>
        <v>A - D</v>
      </c>
      <c r="G40" s="63" t="str">
        <f>IF(ISBLANK('Orphanage Ck'!L22),"",'Orphanage Ck'!L22)</f>
        <v>A - D</v>
      </c>
      <c r="H40" s="117" t="str">
        <f>IF(ISBLANK('Poorman upr'!L22),"",'Poorman upr'!L22)</f>
        <v>A - D</v>
      </c>
      <c r="I40" s="63" t="str">
        <f>IF(ISBLANK('Poorman lwr'!L22),"",'Poorman lwr'!L22)</f>
        <v>A - D</v>
      </c>
      <c r="J40" s="63" t="str">
        <f>IF(ISBLANK('Jenkins lwr'!L22),"",'Jenkins lwr'!L22)</f>
        <v>E</v>
      </c>
      <c r="K40" s="63" t="str">
        <f>IF(ISBLANK(York!L22),"",York!L22)</f>
        <v>A - D</v>
      </c>
      <c r="L40" s="63" t="e">
        <f>IF(ISBLANK(Todds!#REF!),"",Todds!#REF!)</f>
        <v>#REF!</v>
      </c>
      <c r="M40" s="63">
        <f>IF(ISBLANK(Hillwood!L22),"",Hillwood!L22)</f>
      </c>
      <c r="N40" s="63" t="str">
        <f>IF(ISBLANK('Brook upr'!L22),"",'Brook upr'!L22)</f>
        <v>A - D</v>
      </c>
      <c r="O40" s="63" t="str">
        <f>IF(ISBLANK('Brook lwr'!L22),"",'Brook lwr'!L22)</f>
        <v>A - D</v>
      </c>
      <c r="P40" s="63" t="str">
        <f>IF(ISBLANK('Maitai upr'!L22),"",'Maitai upr'!L22)</f>
        <v>A - D</v>
      </c>
      <c r="Q40" s="63" t="str">
        <f>IF(ISBLANK('Maitai u_m'!L22),"",'Maitai u_m'!L22)</f>
        <v>A - D</v>
      </c>
      <c r="R40" s="63" t="str">
        <f>IF(ISBLANK('Maitai lwr'!L22),"",'Maitai lwr'!L22)</f>
        <v>A - D</v>
      </c>
      <c r="S40" s="63">
        <f>IF(ISBLANK(Sharland!L22),"",Sharland!L22)</f>
      </c>
      <c r="T40" s="63">
        <f>IF(ISBLANK(Groom!L22),"",Groom!L22)</f>
      </c>
      <c r="U40" s="63">
        <f>IF(ISBLANK('Wakapuaka upr'!L22),"",'Wakapuaka upr'!L22)</f>
      </c>
      <c r="V40" s="63">
        <f>IF(ISBLANK('Wakapuaka mid'!L22),"",'Wakapuaka mid'!L22)</f>
      </c>
      <c r="W40" s="63">
        <f>IF(ISBLANK('Wakapuaka lwr'!L22),"",'Wakapuaka lwr'!L22)</f>
      </c>
      <c r="X40" s="63">
        <f>IF(ISBLANK('Teal upr'!L22),"",'Teal upr'!L22)</f>
      </c>
      <c r="Y40" s="63">
        <f>IF(ISBLANK('Lud upr'!L22),"",'Lud upr'!L22)</f>
      </c>
      <c r="Z40" s="63">
        <f>IF(ISBLANK('Lud lwr'!L22),"",'Lud lwr'!L22)</f>
      </c>
      <c r="AA40" s="63">
        <f>IF(ISBLANK(Pritchards!L22),"",Pritchards!L22)</f>
      </c>
      <c r="AB40" s="63">
        <f>IF(ISBLANK('Whangamoa upr'!L22),"",'Whangamoa upr'!L22)</f>
      </c>
      <c r="AC40" s="63">
        <f>IF(ISBLANK('Whangamoa lwr'!L22),"",'Whangamoa lwr'!L22)</f>
      </c>
      <c r="AD40" s="63">
        <f>IF(ISBLANK(Graham!L22),"",Graham!L22)</f>
      </c>
      <c r="AE40" s="63">
        <f>IF(ISBLANK(Collins!L22),"",Collins!L22)</f>
      </c>
      <c r="AF40" s="63">
        <f>IF(ISBLANK(Dencker!L22),"",Dencker!L22)</f>
      </c>
    </row>
    <row r="41" spans="3:32" ht="12.75">
      <c r="C41" s="15">
        <v>0.25</v>
      </c>
      <c r="D41" s="9" t="s">
        <v>23</v>
      </c>
      <c r="E41" s="9"/>
      <c r="F41" s="63" t="str">
        <f>IF(ISBLANK('Saxton Ck'!L23),"",'Saxton Ck'!L23)</f>
        <v>A - D</v>
      </c>
      <c r="G41" s="63" t="str">
        <f>IF(ISBLANK('Orphanage Ck'!L23),"",'Orphanage Ck'!L23)</f>
        <v>A - D</v>
      </c>
      <c r="H41" s="117" t="str">
        <f>IF(ISBLANK('Poorman upr'!L23),"",'Poorman upr'!L23)</f>
        <v>A - D</v>
      </c>
      <c r="I41" s="63" t="str">
        <f>IF(ISBLANK('Poorman lwr'!L23),"",'Poorman lwr'!L23)</f>
        <v>A - D</v>
      </c>
      <c r="J41" s="63" t="str">
        <f>IF(ISBLANK('Jenkins lwr'!L23),"",'Jenkins lwr'!L23)</f>
        <v>E</v>
      </c>
      <c r="K41" s="63" t="str">
        <f>IF(ISBLANK(York!L23),"",York!L23)</f>
        <v>E</v>
      </c>
      <c r="L41" s="63" t="e">
        <f>IF(ISBLANK(Todds!#REF!),"",Todds!#REF!)</f>
        <v>#REF!</v>
      </c>
      <c r="M41" s="63">
        <f>IF(ISBLANK(Hillwood!L23),"",Hillwood!L23)</f>
      </c>
      <c r="N41" s="63" t="str">
        <f>IF(ISBLANK('Brook upr'!L23),"",'Brook upr'!L23)</f>
        <v>A - D</v>
      </c>
      <c r="O41" s="63" t="str">
        <f>IF(ISBLANK('Brook lwr'!L23),"",'Brook lwr'!L23)</f>
        <v>A - D</v>
      </c>
      <c r="P41" s="63" t="str">
        <f>IF(ISBLANK('Maitai upr'!L23),"",'Maitai upr'!L23)</f>
        <v>A - D</v>
      </c>
      <c r="Q41" s="63" t="str">
        <f>IF(ISBLANK('Maitai u_m'!L23),"",'Maitai u_m'!L23)</f>
        <v>A - D</v>
      </c>
      <c r="R41" s="63" t="str">
        <f>IF(ISBLANK('Maitai lwr'!L23),"",'Maitai lwr'!L23)</f>
        <v>E</v>
      </c>
      <c r="S41" s="63">
        <f>IF(ISBLANK(Sharland!L23),"",Sharland!L23)</f>
      </c>
      <c r="T41" s="63">
        <f>IF(ISBLANK(Groom!L23),"",Groom!L23)</f>
      </c>
      <c r="U41" s="63">
        <f>IF(ISBLANK('Wakapuaka upr'!L23),"",'Wakapuaka upr'!L23)</f>
      </c>
      <c r="V41" s="63">
        <f>IF(ISBLANK('Wakapuaka mid'!L23),"",'Wakapuaka mid'!L23)</f>
      </c>
      <c r="W41" s="63">
        <f>IF(ISBLANK('Wakapuaka lwr'!L23),"",'Wakapuaka lwr'!L23)</f>
      </c>
      <c r="X41" s="63">
        <f>IF(ISBLANK('Teal upr'!L23),"",'Teal upr'!L23)</f>
      </c>
      <c r="Y41" s="63">
        <f>IF(ISBLANK('Lud upr'!L23),"",'Lud upr'!L23)</f>
      </c>
      <c r="Z41" s="63">
        <f>IF(ISBLANK('Lud lwr'!L23),"",'Lud lwr'!L23)</f>
      </c>
      <c r="AA41" s="63">
        <f>IF(ISBLANK(Pritchards!L23),"",Pritchards!L23)</f>
      </c>
      <c r="AB41" s="63">
        <f>IF(ISBLANK('Whangamoa upr'!L23),"",'Whangamoa upr'!L23)</f>
      </c>
      <c r="AC41" s="63">
        <f>IF(ISBLANK('Whangamoa lwr'!L23),"",'Whangamoa lwr'!L23)</f>
      </c>
      <c r="AD41" s="63">
        <f>IF(ISBLANK(Graham!L23),"",Graham!L23)</f>
      </c>
      <c r="AE41" s="63">
        <f>IF(ISBLANK(Collins!L23),"",Collins!L23)</f>
      </c>
      <c r="AF41" s="63">
        <f>IF(ISBLANK(Dencker!L23),"",Dencker!L23)</f>
      </c>
    </row>
    <row r="42" spans="3:32" ht="12.75">
      <c r="C42" s="15">
        <v>0.25</v>
      </c>
      <c r="D42" s="9" t="s">
        <v>24</v>
      </c>
      <c r="E42" s="9"/>
      <c r="F42" s="63" t="str">
        <f>IF(ISBLANK('Saxton Ck'!L24),"",'Saxton Ck'!L24)</f>
        <v>A - D</v>
      </c>
      <c r="G42" s="63" t="str">
        <f>IF(ISBLANK('Orphanage Ck'!L24),"",'Orphanage Ck'!L24)</f>
        <v>A - D</v>
      </c>
      <c r="H42" s="117" t="str">
        <f>IF(ISBLANK('Poorman upr'!L24),"",'Poorman upr'!L24)</f>
        <v>A - D</v>
      </c>
      <c r="I42" s="63" t="str">
        <f>IF(ISBLANK('Poorman lwr'!L24),"",'Poorman lwr'!L24)</f>
        <v>E</v>
      </c>
      <c r="J42" s="63" t="str">
        <f>IF(ISBLANK('Jenkins lwr'!L24),"",'Jenkins lwr'!L24)</f>
        <v>E</v>
      </c>
      <c r="K42" s="63" t="str">
        <f>IF(ISBLANK(York!L24),"",York!L24)</f>
        <v>E</v>
      </c>
      <c r="L42" s="63" t="e">
        <f>IF(ISBLANK(Todds!#REF!),"",Todds!#REF!)</f>
        <v>#REF!</v>
      </c>
      <c r="M42" s="63">
        <f>IF(ISBLANK(Hillwood!L24),"",Hillwood!L24)</f>
      </c>
      <c r="N42" s="63" t="str">
        <f>IF(ISBLANK('Brook upr'!L24),"",'Brook upr'!L24)</f>
        <v>A - D</v>
      </c>
      <c r="O42" s="63" t="str">
        <f>IF(ISBLANK('Brook lwr'!L24),"",'Brook lwr'!L24)</f>
        <v>A - D</v>
      </c>
      <c r="P42" s="63" t="str">
        <f>IF(ISBLANK('Maitai upr'!L24),"",'Maitai upr'!L24)</f>
        <v>A - D</v>
      </c>
      <c r="Q42" s="63" t="str">
        <f>IF(ISBLANK('Maitai u_m'!L24),"",'Maitai u_m'!L24)</f>
        <v>A - D</v>
      </c>
      <c r="R42" s="63" t="str">
        <f>IF(ISBLANK('Maitai lwr'!L24),"",'Maitai lwr'!L24)</f>
        <v>A - D</v>
      </c>
      <c r="S42" s="63">
        <f>IF(ISBLANK(Sharland!L24),"",Sharland!L24)</f>
      </c>
      <c r="T42" s="63">
        <f>IF(ISBLANK(Groom!L24),"",Groom!L24)</f>
      </c>
      <c r="U42" s="63">
        <f>IF(ISBLANK('Wakapuaka upr'!L24),"",'Wakapuaka upr'!L24)</f>
      </c>
      <c r="V42" s="63">
        <f>IF(ISBLANK('Wakapuaka mid'!L24),"",'Wakapuaka mid'!L24)</f>
      </c>
      <c r="W42" s="63">
        <f>IF(ISBLANK('Wakapuaka lwr'!L24),"",'Wakapuaka lwr'!L24)</f>
      </c>
      <c r="X42" s="63">
        <f>IF(ISBLANK('Teal upr'!L24),"",'Teal upr'!L24)</f>
      </c>
      <c r="Y42" s="63">
        <f>IF(ISBLANK('Lud upr'!L24),"",'Lud upr'!L24)</f>
      </c>
      <c r="Z42" s="63">
        <f>IF(ISBLANK('Lud lwr'!L24),"",'Lud lwr'!L24)</f>
      </c>
      <c r="AA42" s="63">
        <f>IF(ISBLANK(Pritchards!L24),"",Pritchards!L24)</f>
      </c>
      <c r="AB42" s="63">
        <f>IF(ISBLANK('Whangamoa upr'!L24),"",'Whangamoa upr'!L24)</f>
      </c>
      <c r="AC42" s="63">
        <f>IF(ISBLANK('Whangamoa lwr'!L24),"",'Whangamoa lwr'!L24)</f>
      </c>
      <c r="AD42" s="63">
        <f>IF(ISBLANK(Graham!L24),"",Graham!L24)</f>
      </c>
      <c r="AE42" s="63">
        <f>IF(ISBLANK(Collins!L24),"",Collins!L24)</f>
      </c>
      <c r="AF42" s="63">
        <f>IF(ISBLANK(Dencker!L24),"",Dencker!L24)</f>
      </c>
    </row>
    <row r="43" spans="4:32" ht="12.75">
      <c r="D43" s="27"/>
      <c r="E43" s="39"/>
      <c r="F43" s="63">
        <f>IF(ISBLANK('Saxton Ck'!L25),"",'Saxton Ck'!L25)</f>
      </c>
      <c r="G43" s="63">
        <f>IF(ISBLANK('Orphanage Ck'!L25),"",'Orphanage Ck'!L25)</f>
      </c>
      <c r="H43" s="117">
        <f>IF(ISBLANK('Poorman upr'!L25),"",'Poorman upr'!L25)</f>
      </c>
      <c r="I43" s="63">
        <f>IF(ISBLANK('Poorman lwr'!L25),"",'Poorman lwr'!L25)</f>
      </c>
      <c r="J43" s="63">
        <f>IF(ISBLANK('Jenkins lwr'!L25),"",'Jenkins lwr'!L25)</f>
      </c>
      <c r="K43" s="63">
        <f>IF(ISBLANK(York!L25),"",York!L25)</f>
      </c>
      <c r="L43" s="63" t="e">
        <f>IF(ISBLANK(Todds!#REF!),"",Todds!#REF!)</f>
        <v>#REF!</v>
      </c>
      <c r="M43" s="63">
        <f>IF(ISBLANK(Hillwood!L25),"",Hillwood!L25)</f>
      </c>
      <c r="N43" s="63">
        <f>IF(ISBLANK('Brook upr'!L25),"",'Brook upr'!L25)</f>
      </c>
      <c r="O43" s="63">
        <f>IF(ISBLANK('Brook lwr'!L25),"",'Brook lwr'!L25)</f>
      </c>
      <c r="P43" s="63">
        <f>IF(ISBLANK('Maitai upr'!L25),"",'Maitai upr'!L25)</f>
      </c>
      <c r="Q43" s="63">
        <f>IF(ISBLANK('Maitai u_m'!L25),"",'Maitai u_m'!L25)</f>
      </c>
      <c r="R43" s="63">
        <f>IF(ISBLANK('Maitai lwr'!L25),"",'Maitai lwr'!L25)</f>
      </c>
      <c r="S43" s="63">
        <f>IF(ISBLANK(Sharland!L25),"",Sharland!L25)</f>
      </c>
      <c r="T43" s="63">
        <f>IF(ISBLANK(Groom!L25),"",Groom!L25)</f>
      </c>
      <c r="U43" s="63">
        <f>IF(ISBLANK('Wakapuaka upr'!L25),"",'Wakapuaka upr'!L25)</f>
      </c>
      <c r="V43" s="63">
        <f>IF(ISBLANK('Wakapuaka mid'!L25),"",'Wakapuaka mid'!L25)</f>
      </c>
      <c r="W43" s="63">
        <f>IF(ISBLANK('Wakapuaka lwr'!L25),"",'Wakapuaka lwr'!L25)</f>
      </c>
      <c r="X43" s="63">
        <f>IF(ISBLANK('Teal upr'!L25),"",'Teal upr'!L25)</f>
      </c>
      <c r="Y43" s="63">
        <f>IF(ISBLANK('Lud upr'!L25),"",'Lud upr'!L25)</f>
      </c>
      <c r="Z43" s="63">
        <f>IF(ISBLANK('Lud lwr'!L25),"",'Lud lwr'!L25)</f>
      </c>
      <c r="AA43" s="63">
        <f>IF(ISBLANK(Pritchards!L25),"",Pritchards!L25)</f>
      </c>
      <c r="AB43" s="63">
        <f>IF(ISBLANK('Whangamoa upr'!L25),"",'Whangamoa upr'!L25)</f>
      </c>
      <c r="AC43" s="63">
        <f>IF(ISBLANK('Whangamoa lwr'!L25),"",'Whangamoa lwr'!L25)</f>
      </c>
      <c r="AD43" s="63">
        <f>IF(ISBLANK(Graham!L25),"",Graham!L25)</f>
      </c>
      <c r="AE43" s="63">
        <f>IF(ISBLANK(Collins!L25),"",Collins!L25)</f>
      </c>
      <c r="AF43" s="63">
        <f>IF(ISBLANK(Dencker!L25),"",Dencker!L25)</f>
      </c>
    </row>
    <row r="44" spans="2:32" ht="12.75">
      <c r="B44" s="22">
        <v>0.026</v>
      </c>
      <c r="C44" s="47">
        <f>$B$44</f>
        <v>0.026</v>
      </c>
      <c r="D44" s="9" t="s">
        <v>28</v>
      </c>
      <c r="E44" s="9"/>
      <c r="F44" s="39"/>
      <c r="G44" s="39"/>
      <c r="H44" s="117" t="str">
        <f>IF(ISBLANK('Poorman upr'!L26),"",'Poorman upr'!L26)</f>
        <v>E</v>
      </c>
      <c r="I44" s="63" t="str">
        <f>IF(ISBLANK('Poorman lwr'!L26),"",'Poorman lwr'!L26)</f>
        <v>E</v>
      </c>
      <c r="J44" s="63" t="str">
        <f>IF(ISBLANK('Jenkins lwr'!L26),"",'Jenkins lwr'!L26)</f>
        <v>E</v>
      </c>
      <c r="K44" s="63" t="str">
        <f>IF(ISBLANK(York!L26),"",York!L26)</f>
        <v>E</v>
      </c>
      <c r="L44" s="39"/>
      <c r="M44" s="39"/>
      <c r="N44" s="63" t="str">
        <f>IF(ISBLANK('Brook upr'!L26),"",'Brook upr'!L26)</f>
        <v>A - D</v>
      </c>
      <c r="O44" s="63" t="str">
        <f>IF(ISBLANK('Brook lwr'!L26),"",'Brook lwr'!L26)</f>
        <v>E</v>
      </c>
      <c r="P44" s="39"/>
      <c r="Q44" s="39"/>
      <c r="R44" s="63" t="str">
        <f>IF(ISBLANK('Maitai lwr'!L26),"",'Maitai lwr'!L26)</f>
        <v>E</v>
      </c>
      <c r="S44" s="39"/>
      <c r="T44" s="39"/>
      <c r="U44" s="39"/>
      <c r="V44" s="39"/>
      <c r="W44" s="39"/>
      <c r="X44" s="39"/>
      <c r="Y44" s="39"/>
      <c r="Z44" s="39"/>
      <c r="AA44" s="39"/>
      <c r="AB44" s="39"/>
      <c r="AC44" s="39"/>
      <c r="AD44" s="39"/>
      <c r="AE44" s="39"/>
      <c r="AF44" s="39"/>
    </row>
    <row r="45" spans="3:32" ht="12.75">
      <c r="C45" s="47">
        <f>$B$44</f>
        <v>0.026</v>
      </c>
      <c r="D45" s="9" t="s">
        <v>29</v>
      </c>
      <c r="E45" s="9"/>
      <c r="F45" s="39"/>
      <c r="G45" s="39"/>
      <c r="H45" s="117" t="str">
        <f>IF(ISBLANK('Poorman upr'!L27),"",'Poorman upr'!L27)</f>
        <v>E</v>
      </c>
      <c r="I45" s="63" t="str">
        <f>IF(ISBLANK('Poorman lwr'!L27),"",'Poorman lwr'!L27)</f>
        <v>E</v>
      </c>
      <c r="J45" s="63" t="str">
        <f>IF(ISBLANK('Jenkins lwr'!L27),"",'Jenkins lwr'!L27)</f>
        <v>A - D</v>
      </c>
      <c r="K45" s="63" t="str">
        <f>IF(ISBLANK(York!L27),"",York!L27)</f>
        <v>E</v>
      </c>
      <c r="L45" s="39"/>
      <c r="M45" s="39"/>
      <c r="N45" s="63" t="str">
        <f>IF(ISBLANK('Brook upr'!L27),"",'Brook upr'!L27)</f>
        <v>A - D</v>
      </c>
      <c r="O45" s="63" t="str">
        <f>IF(ISBLANK('Brook lwr'!L27),"",'Brook lwr'!L27)</f>
        <v>A - D</v>
      </c>
      <c r="P45" s="39"/>
      <c r="Q45" s="39"/>
      <c r="R45" s="63" t="str">
        <f>IF(ISBLANK('Maitai lwr'!L27),"",'Maitai lwr'!L27)</f>
        <v>E</v>
      </c>
      <c r="S45" s="39"/>
      <c r="T45" s="39"/>
      <c r="U45" s="39"/>
      <c r="V45" s="39"/>
      <c r="W45" s="39"/>
      <c r="X45" s="39"/>
      <c r="Y45" s="39"/>
      <c r="Z45" s="39"/>
      <c r="AA45" s="39"/>
      <c r="AB45" s="39"/>
      <c r="AC45" s="39"/>
      <c r="AD45" s="39"/>
      <c r="AE45" s="39"/>
      <c r="AF45" s="39"/>
    </row>
    <row r="46" spans="2:32" ht="12.75">
      <c r="B46" s="23"/>
      <c r="C46" s="47">
        <f>$B$44</f>
        <v>0.026</v>
      </c>
      <c r="D46" s="9" t="s">
        <v>30</v>
      </c>
      <c r="E46" s="9"/>
      <c r="F46" s="39"/>
      <c r="G46" s="39"/>
      <c r="H46" s="117" t="str">
        <f>IF(ISBLANK('Poorman upr'!L28),"",'Poorman upr'!L28)</f>
        <v>E</v>
      </c>
      <c r="I46" s="63" t="str">
        <f>IF(ISBLANK('Poorman lwr'!L28),"",'Poorman lwr'!L28)</f>
        <v>E</v>
      </c>
      <c r="J46" s="63" t="str">
        <f>IF(ISBLANK('Jenkins lwr'!L28),"",'Jenkins lwr'!L28)</f>
        <v>A - D</v>
      </c>
      <c r="K46" s="63" t="str">
        <f>IF(ISBLANK(York!L28),"",York!L28)</f>
        <v>A - D</v>
      </c>
      <c r="L46" s="39"/>
      <c r="M46" s="39"/>
      <c r="N46" s="63" t="str">
        <f>IF(ISBLANK('Brook upr'!L28),"",'Brook upr'!L28)</f>
        <v>A - D</v>
      </c>
      <c r="O46" s="63" t="str">
        <f>IF(ISBLANK('Brook lwr'!L28),"",'Brook lwr'!L28)</f>
        <v>A - D</v>
      </c>
      <c r="P46" s="39"/>
      <c r="Q46" s="39"/>
      <c r="R46" s="63" t="str">
        <f>IF(ISBLANK('Maitai lwr'!L28),"",'Maitai lwr'!L28)</f>
        <v>E</v>
      </c>
      <c r="S46" s="39"/>
      <c r="T46" s="39"/>
      <c r="U46" s="39"/>
      <c r="V46" s="39"/>
      <c r="W46" s="39"/>
      <c r="X46" s="39"/>
      <c r="Y46" s="39"/>
      <c r="Z46" s="39"/>
      <c r="AA46" s="39"/>
      <c r="AB46" s="39"/>
      <c r="AC46" s="39"/>
      <c r="AD46" s="39"/>
      <c r="AE46" s="39"/>
      <c r="AF46" s="39"/>
    </row>
    <row r="47" spans="3:32" ht="12.75">
      <c r="C47" s="47">
        <f>SUM(C44:C46)</f>
        <v>0.078</v>
      </c>
      <c r="D47" s="10" t="s">
        <v>31</v>
      </c>
      <c r="E47" s="10"/>
      <c r="F47" s="39"/>
      <c r="G47" s="39"/>
      <c r="H47" s="117" t="str">
        <f>IF(ISBLANK('Poorman upr'!L29),"",'Poorman upr'!L29)</f>
        <v>A - D</v>
      </c>
      <c r="I47" s="63" t="str">
        <f>IF(ISBLANK('Poorman lwr'!L29),"",'Poorman lwr'!L29)</f>
        <v>E</v>
      </c>
      <c r="J47" s="63" t="str">
        <f>IF(ISBLANK('Jenkins lwr'!L29),"",'Jenkins lwr'!L29)</f>
        <v>A - D</v>
      </c>
      <c r="K47" s="63" t="str">
        <f>IF(ISBLANK(York!L29),"",York!L29)</f>
        <v>A - D</v>
      </c>
      <c r="L47" s="39"/>
      <c r="M47" s="39"/>
      <c r="N47" s="63" t="str">
        <f>IF(ISBLANK('Brook upr'!L29),"",'Brook upr'!L29)</f>
        <v>A - D</v>
      </c>
      <c r="O47" s="63" t="str">
        <f>IF(ISBLANK('Brook lwr'!L29),"",'Brook lwr'!L29)</f>
        <v>A - D</v>
      </c>
      <c r="P47" s="39"/>
      <c r="Q47" s="39"/>
      <c r="R47" s="63" t="str">
        <f>IF(ISBLANK('Maitai lwr'!L29),"",'Maitai lwr'!L29)</f>
        <v>E</v>
      </c>
      <c r="S47" s="39"/>
      <c r="T47" s="39"/>
      <c r="U47" s="39"/>
      <c r="V47" s="39"/>
      <c r="W47" s="39"/>
      <c r="X47" s="39"/>
      <c r="Y47" s="39"/>
      <c r="Z47" s="39"/>
      <c r="AA47" s="39"/>
      <c r="AB47" s="39"/>
      <c r="AC47" s="39"/>
      <c r="AD47" s="39"/>
      <c r="AE47" s="39"/>
      <c r="AF47" s="39"/>
    </row>
    <row r="48" spans="3:32" ht="12.75">
      <c r="C48" s="47">
        <f aca="true" t="shared" si="18" ref="C48:C57">$B$44</f>
        <v>0.026</v>
      </c>
      <c r="D48" s="9" t="s">
        <v>32</v>
      </c>
      <c r="E48" s="9"/>
      <c r="F48" s="39"/>
      <c r="G48" s="39"/>
      <c r="H48" s="117" t="str">
        <f>IF(ISBLANK('Poorman upr'!L30),"",'Poorman upr'!L30)</f>
        <v>A - D</v>
      </c>
      <c r="I48" s="63" t="str">
        <f>IF(ISBLANK('Poorman lwr'!L30),"",'Poorman lwr'!L30)</f>
        <v>A - D</v>
      </c>
      <c r="J48" s="63" t="str">
        <f>IF(ISBLANK('Jenkins lwr'!L30),"",'Jenkins lwr'!L30)</f>
        <v>A - D</v>
      </c>
      <c r="K48" s="63" t="str">
        <f>IF(ISBLANK(York!L30),"",York!L30)</f>
        <v>A - D</v>
      </c>
      <c r="L48" s="39"/>
      <c r="M48" s="39"/>
      <c r="N48" s="63" t="str">
        <f>IF(ISBLANK('Brook upr'!L30),"",'Brook upr'!L30)</f>
        <v>A - D</v>
      </c>
      <c r="O48" s="63" t="str">
        <f>IF(ISBLANK('Brook lwr'!L30),"",'Brook lwr'!L30)</f>
        <v>E</v>
      </c>
      <c r="P48" s="39"/>
      <c r="Q48" s="39"/>
      <c r="R48" s="63" t="str">
        <f>IF(ISBLANK('Maitai lwr'!L30),"",'Maitai lwr'!L30)</f>
        <v>E</v>
      </c>
      <c r="S48" s="39"/>
      <c r="T48" s="39"/>
      <c r="U48" s="39"/>
      <c r="V48" s="39"/>
      <c r="W48" s="39"/>
      <c r="X48" s="39"/>
      <c r="Y48" s="39"/>
      <c r="Z48" s="39"/>
      <c r="AA48" s="39"/>
      <c r="AB48" s="39"/>
      <c r="AC48" s="39"/>
      <c r="AD48" s="39"/>
      <c r="AE48" s="39"/>
      <c r="AF48" s="39"/>
    </row>
    <row r="49" spans="3:32" ht="12.75">
      <c r="C49" s="47">
        <f t="shared" si="18"/>
        <v>0.026</v>
      </c>
      <c r="D49" s="9" t="s">
        <v>33</v>
      </c>
      <c r="E49" s="9"/>
      <c r="F49" s="39"/>
      <c r="G49" s="39"/>
      <c r="H49" s="117" t="str">
        <f>IF(ISBLANK('Poorman upr'!L31),"",'Poorman upr'!L31)</f>
        <v>A - D</v>
      </c>
      <c r="I49" s="63" t="str">
        <f>IF(ISBLANK('Poorman lwr'!L31),"",'Poorman lwr'!L31)</f>
        <v>A - D</v>
      </c>
      <c r="J49" s="63" t="str">
        <f>IF(ISBLANK('Jenkins lwr'!L31),"",'Jenkins lwr'!L31)</f>
        <v>A - D</v>
      </c>
      <c r="K49" s="63" t="str">
        <f>IF(ISBLANK(York!L31),"",York!L31)</f>
        <v>A - D</v>
      </c>
      <c r="L49" s="39"/>
      <c r="M49" s="39"/>
      <c r="N49" s="63" t="str">
        <f>IF(ISBLANK('Brook upr'!L31),"",'Brook upr'!L31)</f>
        <v>A - D</v>
      </c>
      <c r="O49" s="63" t="str">
        <f>IF(ISBLANK('Brook lwr'!L31),"",'Brook lwr'!L31)</f>
        <v>E</v>
      </c>
      <c r="P49" s="39"/>
      <c r="Q49" s="39"/>
      <c r="R49" s="63" t="str">
        <f>IF(ISBLANK('Maitai lwr'!L31),"",'Maitai lwr'!L31)</f>
        <v>E</v>
      </c>
      <c r="S49" s="39"/>
      <c r="T49" s="39"/>
      <c r="U49" s="39"/>
      <c r="V49" s="39"/>
      <c r="W49" s="39"/>
      <c r="X49" s="39"/>
      <c r="Y49" s="39"/>
      <c r="Z49" s="39"/>
      <c r="AA49" s="39"/>
      <c r="AB49" s="39"/>
      <c r="AC49" s="39"/>
      <c r="AD49" s="39"/>
      <c r="AE49" s="39"/>
      <c r="AF49" s="39"/>
    </row>
    <row r="50" spans="3:32" ht="12.75">
      <c r="C50" s="47">
        <f t="shared" si="18"/>
        <v>0.026</v>
      </c>
      <c r="D50" s="9" t="s">
        <v>34</v>
      </c>
      <c r="E50" s="9"/>
      <c r="F50" s="39"/>
      <c r="G50" s="39"/>
      <c r="H50" s="117" t="str">
        <f>IF(ISBLANK('Poorman upr'!L32),"",'Poorman upr'!L32)</f>
        <v>A - D</v>
      </c>
      <c r="I50" s="63" t="str">
        <f>IF(ISBLANK('Poorman lwr'!L32),"",'Poorman lwr'!L32)</f>
        <v>A - D</v>
      </c>
      <c r="J50" s="63" t="str">
        <f>IF(ISBLANK('Jenkins lwr'!L32),"",'Jenkins lwr'!L32)</f>
        <v>A - D</v>
      </c>
      <c r="K50" s="63" t="str">
        <f>IF(ISBLANK(York!L32),"",York!L32)</f>
        <v>A - D</v>
      </c>
      <c r="L50" s="39"/>
      <c r="M50" s="39"/>
      <c r="N50" s="63" t="str">
        <f>IF(ISBLANK('Brook upr'!L32),"",'Brook upr'!L32)</f>
        <v>A - D</v>
      </c>
      <c r="O50" s="63" t="str">
        <f>IF(ISBLANK('Brook lwr'!L32),"",'Brook lwr'!L32)</f>
        <v>A - D</v>
      </c>
      <c r="P50" s="39"/>
      <c r="Q50" s="39"/>
      <c r="R50" s="63" t="str">
        <f>IF(ISBLANK('Maitai lwr'!L32),"",'Maitai lwr'!L32)</f>
        <v>E</v>
      </c>
      <c r="S50" s="39"/>
      <c r="T50" s="39"/>
      <c r="U50" s="39"/>
      <c r="V50" s="39"/>
      <c r="W50" s="39"/>
      <c r="X50" s="39"/>
      <c r="Y50" s="39"/>
      <c r="Z50" s="39"/>
      <c r="AA50" s="39"/>
      <c r="AB50" s="39"/>
      <c r="AC50" s="39"/>
      <c r="AD50" s="39"/>
      <c r="AE50" s="39"/>
      <c r="AF50" s="39"/>
    </row>
    <row r="51" spans="3:32" ht="12.75">
      <c r="C51" s="47">
        <f t="shared" si="18"/>
        <v>0.026</v>
      </c>
      <c r="D51" s="9" t="s">
        <v>35</v>
      </c>
      <c r="E51" s="9"/>
      <c r="F51" s="39"/>
      <c r="G51" s="39"/>
      <c r="H51" s="117" t="str">
        <f>IF(ISBLANK('Poorman upr'!L33),"",'Poorman upr'!L33)</f>
        <v>A - D</v>
      </c>
      <c r="I51" s="63" t="str">
        <f>IF(ISBLANK('Poorman lwr'!L33),"",'Poorman lwr'!L33)</f>
        <v>A - D</v>
      </c>
      <c r="J51" s="63" t="str">
        <f>IF(ISBLANK('Jenkins lwr'!L33),"",'Jenkins lwr'!L33)</f>
        <v>A - D</v>
      </c>
      <c r="K51" s="63" t="str">
        <f>IF(ISBLANK(York!L33),"",York!L33)</f>
        <v>A - D</v>
      </c>
      <c r="L51" s="39"/>
      <c r="M51" s="39"/>
      <c r="N51" s="63" t="str">
        <f>IF(ISBLANK('Brook upr'!L33),"",'Brook upr'!L33)</f>
        <v>A - D</v>
      </c>
      <c r="O51" s="63" t="str">
        <f>IF(ISBLANK('Brook lwr'!L33),"",'Brook lwr'!L33)</f>
        <v>E</v>
      </c>
      <c r="P51" s="39"/>
      <c r="Q51" s="39"/>
      <c r="R51" s="63" t="str">
        <f>IF(ISBLANK('Maitai lwr'!L33),"",'Maitai lwr'!L33)</f>
        <v>E</v>
      </c>
      <c r="S51" s="39"/>
      <c r="T51" s="39"/>
      <c r="U51" s="39"/>
      <c r="V51" s="39"/>
      <c r="W51" s="39"/>
      <c r="X51" s="39"/>
      <c r="Y51" s="39"/>
      <c r="Z51" s="39"/>
      <c r="AA51" s="39"/>
      <c r="AB51" s="39"/>
      <c r="AC51" s="39"/>
      <c r="AD51" s="39"/>
      <c r="AE51" s="39"/>
      <c r="AF51" s="39"/>
    </row>
    <row r="52" spans="3:32" ht="12.75">
      <c r="C52" s="47">
        <f t="shared" si="18"/>
        <v>0.026</v>
      </c>
      <c r="D52" s="9" t="s">
        <v>36</v>
      </c>
      <c r="E52" s="9"/>
      <c r="F52" s="39"/>
      <c r="G52" s="39"/>
      <c r="H52" s="117" t="str">
        <f>IF(ISBLANK('Poorman upr'!L34),"",'Poorman upr'!L34)</f>
        <v>A - D</v>
      </c>
      <c r="I52" s="63" t="str">
        <f>IF(ISBLANK('Poorman lwr'!L34),"",'Poorman lwr'!L34)</f>
        <v>A - D</v>
      </c>
      <c r="J52" s="63" t="str">
        <f>IF(ISBLANK('Jenkins lwr'!L34),"",'Jenkins lwr'!L34)</f>
        <v>A - D</v>
      </c>
      <c r="K52" s="63" t="str">
        <f>IF(ISBLANK(York!L34),"",York!L34)</f>
        <v>A - D</v>
      </c>
      <c r="L52" s="39"/>
      <c r="M52" s="39"/>
      <c r="N52" s="63" t="str">
        <f>IF(ISBLANK('Brook upr'!L34),"",'Brook upr'!L34)</f>
        <v>A - D</v>
      </c>
      <c r="O52" s="63" t="str">
        <f>IF(ISBLANK('Brook lwr'!L34),"",'Brook lwr'!L34)</f>
        <v>A - D</v>
      </c>
      <c r="P52" s="39"/>
      <c r="Q52" s="39"/>
      <c r="R52" s="63" t="str">
        <f>IF(ISBLANK('Maitai lwr'!L34),"",'Maitai lwr'!L34)</f>
        <v>E</v>
      </c>
      <c r="S52" s="39"/>
      <c r="T52" s="39"/>
      <c r="U52" s="39"/>
      <c r="V52" s="39"/>
      <c r="W52" s="39"/>
      <c r="X52" s="39"/>
      <c r="Y52" s="39"/>
      <c r="Z52" s="39"/>
      <c r="AA52" s="39"/>
      <c r="AB52" s="39"/>
      <c r="AC52" s="39"/>
      <c r="AD52" s="39"/>
      <c r="AE52" s="39"/>
      <c r="AF52" s="39"/>
    </row>
    <row r="53" spans="3:32" ht="12.75">
      <c r="C53" s="47">
        <f t="shared" si="18"/>
        <v>0.026</v>
      </c>
      <c r="D53" s="9" t="s">
        <v>37</v>
      </c>
      <c r="E53" s="9"/>
      <c r="F53" s="39"/>
      <c r="G53" s="39"/>
      <c r="H53" s="117" t="str">
        <f>IF(ISBLANK('Poorman upr'!L35),"",'Poorman upr'!L35)</f>
        <v>A - D</v>
      </c>
      <c r="I53" s="63" t="str">
        <f>IF(ISBLANK('Poorman lwr'!L35),"",'Poorman lwr'!L35)</f>
        <v>A - D</v>
      </c>
      <c r="J53" s="63" t="str">
        <f>IF(ISBLANK('Jenkins lwr'!L35),"",'Jenkins lwr'!L35)</f>
        <v>A - D</v>
      </c>
      <c r="K53" s="63" t="str">
        <f>IF(ISBLANK(York!L35),"",York!L35)</f>
        <v>A - D</v>
      </c>
      <c r="L53" s="39"/>
      <c r="M53" s="39"/>
      <c r="N53" s="63" t="str">
        <f>IF(ISBLANK('Brook upr'!L35),"",'Brook upr'!L35)</f>
        <v>A - D</v>
      </c>
      <c r="O53" s="63" t="str">
        <f>IF(ISBLANK('Brook lwr'!L35),"",'Brook lwr'!L35)</f>
        <v>A - D</v>
      </c>
      <c r="P53" s="39"/>
      <c r="Q53" s="39"/>
      <c r="R53" s="63" t="str">
        <f>IF(ISBLANK('Maitai lwr'!L35),"",'Maitai lwr'!L35)</f>
        <v>E</v>
      </c>
      <c r="S53" s="39"/>
      <c r="T53" s="39"/>
      <c r="U53" s="39"/>
      <c r="V53" s="39"/>
      <c r="W53" s="39"/>
      <c r="X53" s="39"/>
      <c r="Y53" s="39"/>
      <c r="Z53" s="39"/>
      <c r="AA53" s="39"/>
      <c r="AB53" s="39"/>
      <c r="AC53" s="39"/>
      <c r="AD53" s="39"/>
      <c r="AE53" s="39"/>
      <c r="AF53" s="39"/>
    </row>
    <row r="54" spans="3:32" ht="12.75">
      <c r="C54" s="47">
        <f t="shared" si="18"/>
        <v>0.026</v>
      </c>
      <c r="D54" s="9" t="s">
        <v>38</v>
      </c>
      <c r="E54" s="9"/>
      <c r="F54" s="39"/>
      <c r="G54" s="39"/>
      <c r="H54" s="117" t="str">
        <f>IF(ISBLANK('Poorman upr'!L36),"",'Poorman upr'!L36)</f>
        <v>A - D</v>
      </c>
      <c r="I54" s="63" t="str">
        <f>IF(ISBLANK('Poorman lwr'!L36),"",'Poorman lwr'!L36)</f>
        <v>A - D</v>
      </c>
      <c r="J54" s="63" t="str">
        <f>IF(ISBLANK('Jenkins lwr'!L36),"",'Jenkins lwr'!L36)</f>
        <v>A - D</v>
      </c>
      <c r="K54" s="63" t="str">
        <f>IF(ISBLANK(York!L36),"",York!L36)</f>
        <v>A - D</v>
      </c>
      <c r="L54" s="39"/>
      <c r="M54" s="39"/>
      <c r="N54" s="63" t="str">
        <f>IF(ISBLANK('Brook upr'!L36),"",'Brook upr'!L36)</f>
        <v>A - D</v>
      </c>
      <c r="O54" s="63" t="str">
        <f>IF(ISBLANK('Brook lwr'!L36),"",'Brook lwr'!L36)</f>
        <v>E</v>
      </c>
      <c r="P54" s="39"/>
      <c r="Q54" s="39"/>
      <c r="R54" s="63" t="str">
        <f>IF(ISBLANK('Maitai lwr'!L36),"",'Maitai lwr'!L36)</f>
        <v>E</v>
      </c>
      <c r="S54" s="39"/>
      <c r="T54" s="39"/>
      <c r="U54" s="39"/>
      <c r="V54" s="39"/>
      <c r="W54" s="39"/>
      <c r="X54" s="39"/>
      <c r="Y54" s="39"/>
      <c r="Z54" s="39"/>
      <c r="AA54" s="39"/>
      <c r="AB54" s="39"/>
      <c r="AC54" s="39"/>
      <c r="AD54" s="39"/>
      <c r="AE54" s="39"/>
      <c r="AF54" s="39"/>
    </row>
    <row r="55" spans="3:32" ht="12.75">
      <c r="C55" s="47">
        <f t="shared" si="18"/>
        <v>0.026</v>
      </c>
      <c r="D55" s="9" t="s">
        <v>39</v>
      </c>
      <c r="E55" s="9"/>
      <c r="F55" s="39"/>
      <c r="G55" s="39"/>
      <c r="H55" s="117" t="str">
        <f>IF(ISBLANK('Poorman upr'!L37),"",'Poorman upr'!L37)</f>
        <v>E</v>
      </c>
      <c r="I55" s="63" t="str">
        <f>IF(ISBLANK('Poorman lwr'!L37),"",'Poorman lwr'!L37)</f>
        <v>A - D</v>
      </c>
      <c r="J55" s="63" t="str">
        <f>IF(ISBLANK('Jenkins lwr'!L37),"",'Jenkins lwr'!L37)</f>
        <v>A - D</v>
      </c>
      <c r="K55" s="63" t="str">
        <f>IF(ISBLANK(York!L37),"",York!L37)</f>
        <v>A - D</v>
      </c>
      <c r="L55" s="39"/>
      <c r="M55" s="39"/>
      <c r="N55" s="63" t="str">
        <f>IF(ISBLANK('Brook upr'!L37),"",'Brook upr'!L37)</f>
        <v>A - D</v>
      </c>
      <c r="O55" s="63" t="str">
        <f>IF(ISBLANK('Brook lwr'!L37),"",'Brook lwr'!L37)</f>
        <v>A - D</v>
      </c>
      <c r="P55" s="39"/>
      <c r="Q55" s="39"/>
      <c r="R55" s="63" t="str">
        <f>IF(ISBLANK('Maitai lwr'!L37),"",'Maitai lwr'!L37)</f>
        <v>E</v>
      </c>
      <c r="S55" s="39"/>
      <c r="T55" s="39"/>
      <c r="U55" s="39"/>
      <c r="V55" s="39"/>
      <c r="W55" s="39"/>
      <c r="X55" s="39"/>
      <c r="Y55" s="39"/>
      <c r="Z55" s="39"/>
      <c r="AA55" s="39"/>
      <c r="AB55" s="39"/>
      <c r="AC55" s="39"/>
      <c r="AD55" s="39"/>
      <c r="AE55" s="39"/>
      <c r="AF55" s="39"/>
    </row>
    <row r="56" spans="3:32" ht="12.75">
      <c r="C56" s="47">
        <f t="shared" si="18"/>
        <v>0.026</v>
      </c>
      <c r="D56" s="9" t="s">
        <v>40</v>
      </c>
      <c r="E56" s="9"/>
      <c r="F56" s="39"/>
      <c r="G56" s="39"/>
      <c r="H56" s="117">
        <f>IF(ISBLANK('Poorman upr'!L38),"",'Poorman upr'!L38)</f>
      </c>
      <c r="I56" s="63">
        <f>IF(ISBLANK('Poorman lwr'!L38),"",'Poorman lwr'!L38)</f>
      </c>
      <c r="J56" s="63">
        <f>IF(ISBLANK('Jenkins lwr'!L38),"",'Jenkins lwr'!L38)</f>
      </c>
      <c r="K56" s="63">
        <f>IF(ISBLANK(York!L38),"",York!L38)</f>
      </c>
      <c r="L56" s="39"/>
      <c r="M56" s="39"/>
      <c r="N56" s="63">
        <f>IF(ISBLANK('Brook upr'!L38),"",'Brook upr'!L38)</f>
      </c>
      <c r="O56" s="63">
        <f>IF(ISBLANK('Brook lwr'!L38),"",'Brook lwr'!L38)</f>
      </c>
      <c r="P56" s="39"/>
      <c r="Q56" s="39"/>
      <c r="R56" s="63">
        <f>IF(ISBLANK('Maitai lwr'!L38),"",'Maitai lwr'!L38)</f>
      </c>
      <c r="S56" s="39"/>
      <c r="T56" s="39"/>
      <c r="U56" s="39"/>
      <c r="V56" s="39"/>
      <c r="W56" s="39"/>
      <c r="X56" s="39"/>
      <c r="Y56" s="39"/>
      <c r="Z56" s="39"/>
      <c r="AA56" s="39"/>
      <c r="AB56" s="39"/>
      <c r="AC56" s="39"/>
      <c r="AD56" s="39"/>
      <c r="AE56" s="39"/>
      <c r="AF56" s="39"/>
    </row>
    <row r="57" spans="2:32" ht="12.75">
      <c r="B57" s="23"/>
      <c r="C57" s="47">
        <f t="shared" si="18"/>
        <v>0.026</v>
      </c>
      <c r="D57" s="9" t="s">
        <v>41</v>
      </c>
      <c r="E57" s="9"/>
      <c r="F57" s="39"/>
      <c r="G57" s="39"/>
      <c r="H57" s="117" t="str">
        <f>IF(ISBLANK('Poorman upr'!L39),"",'Poorman upr'!L39)</f>
        <v>E</v>
      </c>
      <c r="I57" s="63" t="str">
        <f>IF(ISBLANK('Poorman lwr'!L39),"",'Poorman lwr'!L39)</f>
        <v>E</v>
      </c>
      <c r="J57" s="63" t="str">
        <f>IF(ISBLANK('Jenkins lwr'!L39),"",'Jenkins lwr'!L39)</f>
        <v>E</v>
      </c>
      <c r="K57" s="63" t="str">
        <f>IF(ISBLANK(York!L39),"",York!L39)</f>
        <v>E</v>
      </c>
      <c r="L57" s="39"/>
      <c r="M57" s="39"/>
      <c r="N57" s="63" t="str">
        <f>IF(ISBLANK('Brook upr'!L39),"",'Brook upr'!L39)</f>
        <v>A - D</v>
      </c>
      <c r="O57" s="63" t="str">
        <f>IF(ISBLANK('Brook lwr'!L39),"",'Brook lwr'!L39)</f>
        <v>E</v>
      </c>
      <c r="P57" s="39"/>
      <c r="Q57" s="39"/>
      <c r="R57" s="63" t="str">
        <f>IF(ISBLANK('Maitai lwr'!L39),"",'Maitai lwr'!L39)</f>
        <v>E</v>
      </c>
      <c r="S57" s="39"/>
      <c r="T57" s="39"/>
      <c r="U57" s="39"/>
      <c r="V57" s="39"/>
      <c r="W57" s="39"/>
      <c r="X57" s="39"/>
      <c r="Y57" s="39"/>
      <c r="Z57" s="39"/>
      <c r="AA57" s="39"/>
      <c r="AB57" s="39"/>
      <c r="AC57" s="39"/>
      <c r="AD57" s="39"/>
      <c r="AE57" s="39"/>
      <c r="AF57" s="39"/>
    </row>
    <row r="58" spans="3:32" ht="12.75">
      <c r="C58" s="22">
        <f>SUM(C48:C57)</f>
        <v>0.26</v>
      </c>
      <c r="D58" s="10" t="s">
        <v>42</v>
      </c>
      <c r="E58" s="10"/>
      <c r="F58" s="39"/>
      <c r="G58" s="39"/>
      <c r="H58" s="117" t="str">
        <f>IF(ISBLANK('Poorman upr'!L40),"",'Poorman upr'!L40)</f>
        <v>E</v>
      </c>
      <c r="I58" s="63" t="str">
        <f>IF(ISBLANK('Poorman lwr'!L40),"",'Poorman lwr'!L40)</f>
        <v>E</v>
      </c>
      <c r="J58" s="63" t="str">
        <f>IF(ISBLANK('Jenkins lwr'!L40),"",'Jenkins lwr'!L40)</f>
        <v>A - D</v>
      </c>
      <c r="K58" s="63" t="str">
        <f>IF(ISBLANK(York!L40),"",York!L40)</f>
        <v>E</v>
      </c>
      <c r="L58" s="39"/>
      <c r="M58" s="39"/>
      <c r="N58" s="63" t="str">
        <f>IF(ISBLANK('Brook upr'!L40),"",'Brook upr'!L40)</f>
        <v>A - D</v>
      </c>
      <c r="O58" s="63" t="str">
        <f>IF(ISBLANK('Brook lwr'!L40),"",'Brook lwr'!L40)</f>
        <v>E</v>
      </c>
      <c r="P58" s="39"/>
      <c r="Q58" s="39"/>
      <c r="R58" s="63" t="str">
        <f>IF(ISBLANK('Maitai lwr'!L40),"",'Maitai lwr'!L40)</f>
        <v>E</v>
      </c>
      <c r="S58" s="39"/>
      <c r="T58" s="39"/>
      <c r="U58" s="39"/>
      <c r="V58" s="39"/>
      <c r="W58" s="39"/>
      <c r="X58" s="39"/>
      <c r="Y58" s="39"/>
      <c r="Z58" s="39"/>
      <c r="AA58" s="39"/>
      <c r="AB58" s="39"/>
      <c r="AC58" s="39"/>
      <c r="AD58" s="39"/>
      <c r="AE58" s="39"/>
      <c r="AF58" s="39"/>
    </row>
    <row r="59" spans="2:32" ht="12.75">
      <c r="B59" s="23">
        <f>SUM(C44:C59)</f>
        <v>1.0140000000000002</v>
      </c>
      <c r="C59" s="47">
        <f>C47+C58</f>
        <v>0.338</v>
      </c>
      <c r="D59" s="11" t="s">
        <v>43</v>
      </c>
      <c r="E59" s="11"/>
      <c r="F59" s="39"/>
      <c r="G59" s="39"/>
      <c r="H59" s="117" t="str">
        <f>IF(ISBLANK('Poorman upr'!L41),"",'Poorman upr'!L41)</f>
        <v>A - D</v>
      </c>
      <c r="I59" s="63" t="str">
        <f>IF(ISBLANK('Poorman lwr'!L41),"",'Poorman lwr'!L41)</f>
        <v>A - D</v>
      </c>
      <c r="J59" s="63" t="str">
        <f>IF(ISBLANK('Jenkins lwr'!L41),"",'Jenkins lwr'!L41)</f>
        <v>A - D</v>
      </c>
      <c r="K59" s="63" t="str">
        <f>IF(ISBLANK(York!L41),"",York!L41)</f>
        <v>A - D</v>
      </c>
      <c r="L59" s="39"/>
      <c r="M59" s="39"/>
      <c r="N59" s="63" t="str">
        <f>IF(ISBLANK('Brook upr'!L41),"",'Brook upr'!L41)</f>
        <v>A - D</v>
      </c>
      <c r="O59" s="63" t="str">
        <f>IF(ISBLANK('Brook lwr'!L41),"",'Brook lwr'!L41)</f>
        <v>E</v>
      </c>
      <c r="P59" s="39"/>
      <c r="Q59" s="39"/>
      <c r="R59" s="63" t="str">
        <f>IF(ISBLANK('Maitai lwr'!L41),"",'Maitai lwr'!L41)</f>
        <v>E</v>
      </c>
      <c r="S59" s="39"/>
      <c r="T59" s="39"/>
      <c r="U59" s="39"/>
      <c r="V59" s="39"/>
      <c r="W59" s="39"/>
      <c r="X59" s="39"/>
      <c r="Y59" s="39"/>
      <c r="Z59" s="39"/>
      <c r="AA59" s="39"/>
      <c r="AB59" s="39"/>
      <c r="AC59" s="39"/>
      <c r="AD59" s="39"/>
      <c r="AE59" s="39"/>
      <c r="AF59" s="39"/>
    </row>
    <row r="60" spans="4:32" ht="12.75">
      <c r="D60" s="9" t="s">
        <v>44</v>
      </c>
      <c r="E60" s="9"/>
      <c r="F60" s="39"/>
      <c r="G60" s="39"/>
      <c r="H60" s="117">
        <f>IF(ISBLANK('Poorman upr'!L42),"",'Poorman upr'!L42)</f>
      </c>
      <c r="I60" s="63">
        <f>IF(ISBLANK('Poorman lwr'!L42),"",'Poorman lwr'!L42)</f>
      </c>
      <c r="J60" s="63">
        <f>IF(ISBLANK('Jenkins lwr'!L42),"",'Jenkins lwr'!L42)</f>
      </c>
      <c r="K60" s="63">
        <f>IF(ISBLANK(York!L42),"",York!L42)</f>
      </c>
      <c r="L60" s="39"/>
      <c r="M60" s="39"/>
      <c r="N60" s="63">
        <f>IF(ISBLANK('Brook upr'!L42),"",'Brook upr'!L42)</f>
      </c>
      <c r="O60" s="63">
        <f>IF(ISBLANK('Brook lwr'!L42),"",'Brook lwr'!L42)</f>
      </c>
      <c r="P60" s="39"/>
      <c r="Q60" s="39"/>
      <c r="R60" s="63">
        <f>IF(ISBLANK('Maitai lwr'!L42),"",'Maitai lwr'!L42)</f>
      </c>
      <c r="S60" s="39"/>
      <c r="T60" s="39"/>
      <c r="U60" s="39"/>
      <c r="V60" s="39"/>
      <c r="W60" s="39"/>
      <c r="X60" s="39"/>
      <c r="Y60" s="39"/>
      <c r="Z60" s="39"/>
      <c r="AA60" s="39"/>
      <c r="AB60" s="39"/>
      <c r="AC60" s="39"/>
      <c r="AD60" s="39"/>
      <c r="AE60" s="39"/>
      <c r="AF60" s="39"/>
    </row>
    <row r="61" ht="12.75">
      <c r="D61" s="27"/>
    </row>
    <row r="62" spans="4:5" ht="12.75">
      <c r="D62" s="27"/>
      <c r="E62" t="s">
        <v>72</v>
      </c>
    </row>
    <row r="63" spans="4:32" ht="12.75">
      <c r="D63" s="27"/>
      <c r="F63" s="16">
        <v>5</v>
      </c>
      <c r="G63" s="16">
        <v>4</v>
      </c>
      <c r="H63" s="16">
        <v>2</v>
      </c>
      <c r="I63" s="16">
        <v>4</v>
      </c>
      <c r="J63" s="16">
        <v>4</v>
      </c>
      <c r="K63" s="16">
        <v>4</v>
      </c>
      <c r="L63" s="16">
        <v>4</v>
      </c>
      <c r="M63" s="16">
        <v>4</v>
      </c>
      <c r="N63" s="16">
        <v>2</v>
      </c>
      <c r="O63" s="16">
        <v>4</v>
      </c>
      <c r="P63" s="16">
        <v>1</v>
      </c>
      <c r="Q63" s="16">
        <v>2</v>
      </c>
      <c r="R63" s="16">
        <v>3</v>
      </c>
      <c r="S63" s="16">
        <v>3</v>
      </c>
      <c r="T63" s="16">
        <v>3</v>
      </c>
      <c r="U63" s="16">
        <v>2</v>
      </c>
      <c r="V63" s="16">
        <v>2</v>
      </c>
      <c r="W63" s="16">
        <v>3</v>
      </c>
      <c r="X63" s="16">
        <v>2</v>
      </c>
      <c r="Y63" s="16">
        <v>4</v>
      </c>
      <c r="Z63" s="16">
        <v>4</v>
      </c>
      <c r="AA63" s="16">
        <v>2</v>
      </c>
      <c r="AB63" s="16">
        <v>2</v>
      </c>
      <c r="AC63" s="16">
        <v>2</v>
      </c>
      <c r="AD63" s="16">
        <v>2</v>
      </c>
      <c r="AE63" s="16">
        <v>3</v>
      </c>
      <c r="AF63" s="16">
        <v>3</v>
      </c>
    </row>
    <row r="64" spans="2:37" ht="12.75">
      <c r="B64" t="s">
        <v>3</v>
      </c>
      <c r="C64">
        <f>CODE(B64)-64</f>
        <v>1</v>
      </c>
      <c r="D64" s="4" t="s">
        <v>4</v>
      </c>
      <c r="E64" s="25">
        <f aca="true" t="shared" si="19" ref="E64:E101">C22</f>
        <v>1</v>
      </c>
      <c r="F64" s="41">
        <f>IF(ISERROR(CODE(F22)),"",IF(F22="A - D",2,IF(F22="D/E",4.5,CODE(F22)-64)))</f>
        <v>5</v>
      </c>
      <c r="G64" s="41">
        <f>IF(ISERROR(CODE(G22)),"",IF(G22="A - D",2,IF(G22="D/E",4.5,CODE(G22)-64)))</f>
        <v>3</v>
      </c>
      <c r="H64" s="41">
        <f aca="true" t="shared" si="20" ref="H64:H86">IF(ISERROR(CODE(H22)),"",IF(H22="A - D",2,IF(H22="D/E",4.5,CODE(H22)-64)))</f>
        <v>3</v>
      </c>
      <c r="I64" s="41">
        <f aca="true" t="shared" si="21" ref="I64:I86">IF(ISERROR(CODE(I22)),"",IF(I22="A - D",2,IF(I22="D/E",4.5,CODE(I22)-64)))</f>
        <v>3</v>
      </c>
      <c r="J64" s="41">
        <f aca="true" t="shared" si="22" ref="J64:J103">IF(ISERROR(CODE(J22)),"",IF(J22="A - D",2,IF(J22="D/E",4.5,CODE(J22)-64)))</f>
        <v>1</v>
      </c>
      <c r="K64" s="41">
        <f aca="true" t="shared" si="23" ref="K64:K103">IF(ISERROR(CODE(K22)),"",IF(K22="A - D",2,IF(K22="D/E",4.5,CODE(K22)-64)))</f>
        <v>4</v>
      </c>
      <c r="L64" s="41">
        <f aca="true" t="shared" si="24" ref="L64:L85">IF(ISERROR(CODE(L22)),"",IF(L22="A - D",2,IF(L22="D/E",4.5,CODE(L22)-64)))</f>
        <v>3</v>
      </c>
      <c r="M64" s="41">
        <f aca="true" t="shared" si="25" ref="M64:M85">IF(ISERROR(CODE(M22)),"",IF(M22="A - D",2,IF(M22="D/E",4.5,CODE(M22)-64)))</f>
        <v>1</v>
      </c>
      <c r="N64" s="41">
        <f aca="true" t="shared" si="26" ref="N64:N103">IF(ISERROR(CODE(N22)),"",IF(N22="A - D",2,IF(N22="D/E",4.5,CODE(N22)-64)))</f>
        <v>1</v>
      </c>
      <c r="O64" s="41">
        <f aca="true" t="shared" si="27" ref="O64:O103">IF(ISERROR(CODE(O22)),"",IF(O22="A - D",2,IF(O22="D/E",4.5,CODE(O22)-64)))</f>
        <v>3</v>
      </c>
      <c r="P64" s="41">
        <f aca="true" t="shared" si="28" ref="P64:P85">IF(ISERROR(CODE(P22)),"",IF(P22="A - D",2,IF(P22="D/E",4.5,CODE(P22)-64)))</f>
        <v>1</v>
      </c>
      <c r="Q64" s="41">
        <f aca="true" t="shared" si="29" ref="Q64:Q85">IF(ISERROR(CODE(Q22)),"",IF(Q22="A - D",2,IF(Q22="D/E",4.5,CODE(Q22)-64)))</f>
        <v>1</v>
      </c>
      <c r="R64" s="41">
        <f aca="true" t="shared" si="30" ref="R64:R103">IF(ISERROR(CODE(R22)),"",IF(R22="A - D",2,IF(R22="D/E",4.5,CODE(R22)-64)))</f>
        <v>2</v>
      </c>
      <c r="S64" s="41">
        <f aca="true" t="shared" si="31" ref="S64:S85">IF(ISERROR(CODE(S22)),"",IF(S22="A - D",2,IF(S22="D/E",4.5,CODE(S22)-64)))</f>
        <v>5</v>
      </c>
      <c r="T64" s="41">
        <f aca="true" t="shared" si="32" ref="T64:T85">IF(ISERROR(CODE(T22)),"",IF(T22="A - D",2,IF(T22="D/E",4.5,CODE(T22)-64)))</f>
        <v>1</v>
      </c>
      <c r="U64" s="41">
        <f aca="true" t="shared" si="33" ref="U64:U85">IF(ISERROR(CODE(U22)),"",IF(U22="A - D",2,IF(U22="D/E",4.5,CODE(U22)-64)))</f>
        <v>1</v>
      </c>
      <c r="V64" s="41">
        <f aca="true" t="shared" si="34" ref="V64:V85">IF(ISERROR(CODE(V22)),"",IF(V22="A - D",2,IF(V22="D/E",4.5,CODE(V22)-64)))</f>
        <v>1</v>
      </c>
      <c r="W64" s="41">
        <f aca="true" t="shared" si="35" ref="W64:W85">IF(ISERROR(CODE(W22)),"",IF(W22="A - D",2,IF(W22="D/E",4.5,CODE(W22)-64)))</f>
        <v>2</v>
      </c>
      <c r="X64" s="41">
        <f aca="true" t="shared" si="36" ref="X64:X85">IF(ISERROR(CODE(X22)),"",IF(X22="A - D",2,IF(X22="D/E",4.5,CODE(X22)-64)))</f>
        <v>1</v>
      </c>
      <c r="Y64" s="41">
        <f aca="true" t="shared" si="37" ref="Y64:Y85">IF(ISERROR(CODE(Y22)),"",IF(Y22="A - D",2,IF(Y22="D/E",4.5,CODE(Y22)-64)))</f>
        <v>2</v>
      </c>
      <c r="Z64" s="41">
        <f aca="true" t="shared" si="38" ref="Z64:Z85">IF(ISERROR(CODE(Z22)),"",IF(Z22="A - D",2,IF(Z22="D/E",4.5,CODE(Z22)-64)))</f>
        <v>4</v>
      </c>
      <c r="AA64" s="41">
        <f aca="true" t="shared" si="39" ref="AA64:AA85">IF(ISERROR(CODE(AA22)),"",IF(AA22="A - D",2,IF(AA22="D/E",4.5,CODE(AA22)-64)))</f>
        <v>1</v>
      </c>
      <c r="AB64" s="41">
        <f aca="true" t="shared" si="40" ref="AB64:AB85">IF(ISERROR(CODE(AB22)),"",IF(AB22="A - D",2,IF(AB22="D/E",4.5,CODE(AB22)-64)))</f>
        <v>3</v>
      </c>
      <c r="AC64" s="41">
        <f aca="true" t="shared" si="41" ref="AC64:AC85">IF(ISERROR(CODE(AC22)),"",IF(AC22="A - D",2,IF(AC22="D/E",4.5,CODE(AC22)-64)))</f>
        <v>1</v>
      </c>
      <c r="AD64" s="41">
        <f aca="true" t="shared" si="42" ref="AD64:AD85">IF(ISERROR(CODE(AD22)),"",IF(AD22="A - D",2,IF(AD22="D/E",4.5,CODE(AD22)-64)))</f>
        <v>1</v>
      </c>
      <c r="AE64" s="41">
        <f aca="true" t="shared" si="43" ref="AE64:AE85">IF(ISERROR(CODE(AE22)),"",IF(AE22="A - D",2,IF(AE22="D/E",4.5,CODE(AE22)-64)))</f>
        <v>3</v>
      </c>
      <c r="AF64" s="41">
        <f aca="true" t="shared" si="44" ref="AF64:AF85">IF(ISERROR(CODE(AF22)),"",IF(AF22="A - D",2,IF(AF22="D/E",4.5,CODE(AF22)-64)))</f>
        <v>1</v>
      </c>
      <c r="AG64" s="39"/>
      <c r="AH64" s="39"/>
      <c r="AI64" s="39"/>
      <c r="AJ64" s="39"/>
      <c r="AK64" s="39"/>
    </row>
    <row r="65" spans="2:37" ht="12.75">
      <c r="B65" t="s">
        <v>27</v>
      </c>
      <c r="C65">
        <f>CODE(B65)-64</f>
        <v>2</v>
      </c>
      <c r="D65" s="5" t="s">
        <v>5</v>
      </c>
      <c r="E65" s="25">
        <f t="shared" si="19"/>
        <v>0</v>
      </c>
      <c r="F65" s="41">
        <f aca="true" t="shared" si="45" ref="F65:G85">IF(ISERROR(CODE(F23)),"",IF(F23="A - D",2,IF(F23="D/E",4.5,CODE(F23)-64)))</f>
      </c>
      <c r="G65" s="41">
        <f t="shared" si="45"/>
      </c>
      <c r="H65" s="41">
        <f t="shared" si="20"/>
      </c>
      <c r="I65" s="41">
        <f t="shared" si="21"/>
      </c>
      <c r="J65" s="41">
        <f t="shared" si="22"/>
      </c>
      <c r="K65" s="41">
        <f t="shared" si="23"/>
      </c>
      <c r="L65" s="41">
        <f t="shared" si="24"/>
      </c>
      <c r="M65" s="41">
        <f t="shared" si="25"/>
      </c>
      <c r="N65" s="41">
        <f t="shared" si="26"/>
      </c>
      <c r="O65" s="41">
        <f t="shared" si="27"/>
      </c>
      <c r="P65" s="41">
        <f t="shared" si="28"/>
      </c>
      <c r="Q65" s="41">
        <f t="shared" si="29"/>
      </c>
      <c r="R65" s="41">
        <f t="shared" si="30"/>
      </c>
      <c r="S65" s="41">
        <f t="shared" si="31"/>
      </c>
      <c r="T65" s="41">
        <f t="shared" si="32"/>
      </c>
      <c r="U65" s="41">
        <f t="shared" si="33"/>
      </c>
      <c r="V65" s="41">
        <f t="shared" si="34"/>
      </c>
      <c r="W65" s="41">
        <f t="shared" si="35"/>
      </c>
      <c r="X65" s="41">
        <f t="shared" si="36"/>
      </c>
      <c r="Y65" s="41">
        <f t="shared" si="37"/>
      </c>
      <c r="Z65" s="41">
        <f t="shared" si="38"/>
      </c>
      <c r="AA65" s="41">
        <f t="shared" si="39"/>
      </c>
      <c r="AB65" s="41">
        <f t="shared" si="40"/>
      </c>
      <c r="AC65" s="41">
        <f t="shared" si="41"/>
      </c>
      <c r="AD65" s="41">
        <f t="shared" si="42"/>
      </c>
      <c r="AE65" s="41">
        <f t="shared" si="43"/>
      </c>
      <c r="AF65" s="41">
        <f t="shared" si="44"/>
      </c>
      <c r="AG65" s="39"/>
      <c r="AH65" s="39"/>
      <c r="AI65" s="39"/>
      <c r="AJ65" s="39"/>
      <c r="AK65" s="39"/>
    </row>
    <row r="66" spans="2:37" ht="12.75">
      <c r="B66" t="s">
        <v>1</v>
      </c>
      <c r="C66">
        <f>CODE(B66)-64</f>
        <v>3</v>
      </c>
      <c r="D66" s="29" t="s">
        <v>6</v>
      </c>
      <c r="E66" s="25">
        <f t="shared" si="19"/>
        <v>0.5</v>
      </c>
      <c r="F66" s="41">
        <f t="shared" si="45"/>
        <v>3</v>
      </c>
      <c r="G66" s="41">
        <f t="shared" si="45"/>
        <v>3</v>
      </c>
      <c r="H66" s="41">
        <f t="shared" si="20"/>
        <v>3</v>
      </c>
      <c r="I66" s="41">
        <f t="shared" si="21"/>
        <v>3</v>
      </c>
      <c r="J66" s="41">
        <f t="shared" si="22"/>
        <v>3</v>
      </c>
      <c r="K66" s="41">
        <f t="shared" si="23"/>
        <v>3</v>
      </c>
      <c r="L66" s="41">
        <f t="shared" si="24"/>
        <v>3</v>
      </c>
      <c r="M66" s="41">
        <f t="shared" si="25"/>
        <v>3</v>
      </c>
      <c r="N66" s="41">
        <f t="shared" si="26"/>
        <v>3</v>
      </c>
      <c r="O66" s="41">
        <f t="shared" si="27"/>
        <v>3</v>
      </c>
      <c r="P66" s="41">
        <f t="shared" si="28"/>
        <v>2</v>
      </c>
      <c r="Q66" s="41">
        <f t="shared" si="29"/>
        <v>2</v>
      </c>
      <c r="R66" s="41">
        <f t="shared" si="30"/>
        <v>2</v>
      </c>
      <c r="S66" s="41">
        <f t="shared" si="31"/>
        <v>3</v>
      </c>
      <c r="T66" s="41">
        <f t="shared" si="32"/>
        <v>3</v>
      </c>
      <c r="U66" s="41">
        <f t="shared" si="33"/>
        <v>2</v>
      </c>
      <c r="V66" s="41">
        <f t="shared" si="34"/>
        <v>2</v>
      </c>
      <c r="W66" s="41">
        <f t="shared" si="35"/>
        <v>2</v>
      </c>
      <c r="X66" s="41">
        <f t="shared" si="36"/>
        <v>2</v>
      </c>
      <c r="Y66" s="41">
        <f t="shared" si="37"/>
        <v>3</v>
      </c>
      <c r="Z66" s="41">
        <f t="shared" si="38"/>
        <v>3</v>
      </c>
      <c r="AA66" s="41">
        <f t="shared" si="39"/>
        <v>3</v>
      </c>
      <c r="AB66" s="41">
        <f t="shared" si="40"/>
        <v>2</v>
      </c>
      <c r="AC66" s="41">
        <f t="shared" si="41"/>
        <v>2</v>
      </c>
      <c r="AD66" s="41">
        <f t="shared" si="42"/>
        <v>2</v>
      </c>
      <c r="AE66" s="41">
        <f t="shared" si="43"/>
        <v>2</v>
      </c>
      <c r="AF66" s="41">
        <f t="shared" si="44"/>
        <v>3</v>
      </c>
      <c r="AG66" s="39"/>
      <c r="AH66" s="39"/>
      <c r="AI66" s="39"/>
      <c r="AJ66" s="39"/>
      <c r="AK66" s="39"/>
    </row>
    <row r="67" spans="2:37" ht="12.75">
      <c r="B67" t="s">
        <v>2</v>
      </c>
      <c r="C67">
        <f>CODE(B67)-64</f>
        <v>4</v>
      </c>
      <c r="D67" s="6" t="s">
        <v>7</v>
      </c>
      <c r="E67" s="25">
        <f t="shared" si="19"/>
        <v>0.5</v>
      </c>
      <c r="F67" s="41">
        <f t="shared" si="45"/>
        <v>3</v>
      </c>
      <c r="G67" s="41">
        <f t="shared" si="45"/>
        <v>1</v>
      </c>
      <c r="H67" s="41">
        <f t="shared" si="20"/>
        <v>1</v>
      </c>
      <c r="I67" s="41">
        <f t="shared" si="21"/>
        <v>1</v>
      </c>
      <c r="J67" s="41">
        <f t="shared" si="22"/>
        <v>1</v>
      </c>
      <c r="K67" s="41">
        <f t="shared" si="23"/>
        <v>1</v>
      </c>
      <c r="L67" s="41">
        <f t="shared" si="24"/>
        <v>1</v>
      </c>
      <c r="M67" s="41">
        <f t="shared" si="25"/>
        <v>1</v>
      </c>
      <c r="N67" s="41">
        <f t="shared" si="26"/>
        <v>1</v>
      </c>
      <c r="O67" s="41">
        <f t="shared" si="27"/>
        <v>1</v>
      </c>
      <c r="P67" s="41">
        <f t="shared" si="28"/>
        <v>1</v>
      </c>
      <c r="Q67" s="41">
        <f t="shared" si="29"/>
        <v>1</v>
      </c>
      <c r="R67" s="41">
        <f t="shared" si="30"/>
        <v>1</v>
      </c>
      <c r="S67" s="41">
        <f t="shared" si="31"/>
        <v>1</v>
      </c>
      <c r="T67" s="41">
        <f t="shared" si="32"/>
        <v>1</v>
      </c>
      <c r="U67" s="41">
        <f t="shared" si="33"/>
        <v>1</v>
      </c>
      <c r="V67" s="41">
        <f t="shared" si="34"/>
        <v>1</v>
      </c>
      <c r="W67" s="41">
        <f t="shared" si="35"/>
        <v>1</v>
      </c>
      <c r="X67" s="41">
        <f t="shared" si="36"/>
        <v>1</v>
      </c>
      <c r="Y67" s="41">
        <f t="shared" si="37"/>
        <v>1</v>
      </c>
      <c r="Z67" s="41">
        <f t="shared" si="38"/>
        <v>1</v>
      </c>
      <c r="AA67" s="41">
        <f t="shared" si="39"/>
        <v>1</v>
      </c>
      <c r="AB67" s="41">
        <f t="shared" si="40"/>
        <v>1</v>
      </c>
      <c r="AC67" s="41">
        <f t="shared" si="41"/>
        <v>1</v>
      </c>
      <c r="AD67" s="41">
        <f t="shared" si="42"/>
        <v>1</v>
      </c>
      <c r="AE67" s="41">
        <f t="shared" si="43"/>
        <v>1</v>
      </c>
      <c r="AF67" s="41">
        <f t="shared" si="44"/>
        <v>1</v>
      </c>
      <c r="AG67" s="39"/>
      <c r="AH67" s="39"/>
      <c r="AI67" s="39"/>
      <c r="AJ67" s="39"/>
      <c r="AK67" s="39"/>
    </row>
    <row r="68" spans="2:37" ht="12.75">
      <c r="B68" t="s">
        <v>0</v>
      </c>
      <c r="C68">
        <f>CODE(B68)-64</f>
        <v>5</v>
      </c>
      <c r="D68" s="6" t="s">
        <v>8</v>
      </c>
      <c r="E68" s="25">
        <f t="shared" si="19"/>
        <v>0.5</v>
      </c>
      <c r="F68" s="41">
        <f t="shared" si="45"/>
        <v>1</v>
      </c>
      <c r="G68" s="41">
        <f t="shared" si="45"/>
        <v>1</v>
      </c>
      <c r="H68" s="41">
        <f t="shared" si="20"/>
        <v>1</v>
      </c>
      <c r="I68" s="41">
        <f t="shared" si="21"/>
        <v>1</v>
      </c>
      <c r="J68" s="41">
        <f t="shared" si="22"/>
        <v>1</v>
      </c>
      <c r="K68" s="41">
        <f t="shared" si="23"/>
        <v>1</v>
      </c>
      <c r="L68" s="41">
        <f t="shared" si="24"/>
        <v>1</v>
      </c>
      <c r="M68" s="41">
        <f t="shared" si="25"/>
        <v>1</v>
      </c>
      <c r="N68" s="41">
        <f t="shared" si="26"/>
        <v>1</v>
      </c>
      <c r="O68" s="41">
        <f t="shared" si="27"/>
        <v>1</v>
      </c>
      <c r="P68" s="41">
        <f t="shared" si="28"/>
        <v>1</v>
      </c>
      <c r="Q68" s="41">
        <f t="shared" si="29"/>
        <v>1</v>
      </c>
      <c r="R68" s="41">
        <f t="shared" si="30"/>
        <v>1</v>
      </c>
      <c r="S68" s="41">
        <f t="shared" si="31"/>
        <v>1</v>
      </c>
      <c r="T68" s="41">
        <f t="shared" si="32"/>
        <v>1</v>
      </c>
      <c r="U68" s="41">
        <f t="shared" si="33"/>
        <v>1</v>
      </c>
      <c r="V68" s="41">
        <f t="shared" si="34"/>
        <v>1</v>
      </c>
      <c r="W68" s="41">
        <f t="shared" si="35"/>
        <v>1</v>
      </c>
      <c r="X68" s="41">
        <f t="shared" si="36"/>
        <v>1</v>
      </c>
      <c r="Y68" s="41">
        <f t="shared" si="37"/>
        <v>1</v>
      </c>
      <c r="Z68" s="41">
        <f t="shared" si="38"/>
        <v>1</v>
      </c>
      <c r="AA68" s="41">
        <f t="shared" si="39"/>
        <v>1</v>
      </c>
      <c r="AB68" s="41">
        <f t="shared" si="40"/>
        <v>1</v>
      </c>
      <c r="AC68" s="41">
        <f t="shared" si="41"/>
        <v>1</v>
      </c>
      <c r="AD68" s="41">
        <f t="shared" si="42"/>
        <v>1</v>
      </c>
      <c r="AE68" s="41">
        <f t="shared" si="43"/>
        <v>1</v>
      </c>
      <c r="AF68" s="41">
        <f t="shared" si="44"/>
        <v>1</v>
      </c>
      <c r="AG68" s="39"/>
      <c r="AH68" s="39"/>
      <c r="AI68" s="39"/>
      <c r="AJ68" s="39"/>
      <c r="AK68" s="39"/>
    </row>
    <row r="69" spans="4:37" ht="12.75">
      <c r="D69" s="7" t="s">
        <v>9</v>
      </c>
      <c r="E69" s="25">
        <f t="shared" si="19"/>
        <v>0.5</v>
      </c>
      <c r="F69" s="41">
        <f t="shared" si="45"/>
        <v>4</v>
      </c>
      <c r="G69" s="41">
        <f t="shared" si="45"/>
        <v>1</v>
      </c>
      <c r="H69" s="41">
        <f t="shared" si="20"/>
        <v>2</v>
      </c>
      <c r="I69" s="41">
        <f t="shared" si="21"/>
        <v>3</v>
      </c>
      <c r="J69" s="41">
        <f t="shared" si="22"/>
        <v>3</v>
      </c>
      <c r="K69" s="41">
        <f t="shared" si="23"/>
        <v>3</v>
      </c>
      <c r="L69" s="41">
        <f t="shared" si="24"/>
        <v>2</v>
      </c>
      <c r="M69" s="41">
        <f t="shared" si="25"/>
        <v>3</v>
      </c>
      <c r="N69" s="41">
        <f t="shared" si="26"/>
        <v>1</v>
      </c>
      <c r="O69" s="41">
        <f t="shared" si="27"/>
        <v>2</v>
      </c>
      <c r="P69" s="41">
        <f t="shared" si="28"/>
        <v>1</v>
      </c>
      <c r="Q69" s="41">
        <f t="shared" si="29"/>
        <v>3</v>
      </c>
      <c r="R69" s="41">
        <f t="shared" si="30"/>
        <v>3</v>
      </c>
      <c r="S69" s="41">
        <f t="shared" si="31"/>
        <v>2</v>
      </c>
      <c r="T69" s="41">
        <f t="shared" si="32"/>
        <v>1</v>
      </c>
      <c r="U69" s="41">
        <f t="shared" si="33"/>
        <v>2</v>
      </c>
      <c r="V69" s="41">
        <f t="shared" si="34"/>
        <v>2</v>
      </c>
      <c r="W69" s="41">
        <f t="shared" si="35"/>
        <v>3</v>
      </c>
      <c r="X69" s="41">
        <f t="shared" si="36"/>
        <v>3</v>
      </c>
      <c r="Y69" s="41">
        <f t="shared" si="37"/>
        <v>2</v>
      </c>
      <c r="Z69" s="41">
        <f t="shared" si="38"/>
        <v>2</v>
      </c>
      <c r="AA69" s="41">
        <f t="shared" si="39"/>
        <v>1</v>
      </c>
      <c r="AB69" s="41">
        <f t="shared" si="40"/>
        <v>1</v>
      </c>
      <c r="AC69" s="41">
        <f t="shared" si="41"/>
        <v>1</v>
      </c>
      <c r="AD69" s="41">
        <f t="shared" si="42"/>
        <v>1</v>
      </c>
      <c r="AE69" s="41">
        <f t="shared" si="43"/>
        <v>1</v>
      </c>
      <c r="AF69" s="41">
        <f t="shared" si="44"/>
        <v>1</v>
      </c>
      <c r="AG69" s="39"/>
      <c r="AH69" s="39"/>
      <c r="AI69" s="39"/>
      <c r="AJ69" s="39"/>
      <c r="AK69" s="39"/>
    </row>
    <row r="70" spans="4:37" ht="12.75">
      <c r="D70" s="6" t="s">
        <v>10</v>
      </c>
      <c r="E70" s="25">
        <f t="shared" si="19"/>
        <v>0</v>
      </c>
      <c r="F70" s="41">
        <f t="shared" si="45"/>
      </c>
      <c r="G70" s="41">
        <f t="shared" si="45"/>
      </c>
      <c r="H70" s="41">
        <f t="shared" si="20"/>
      </c>
      <c r="I70" s="41">
        <f t="shared" si="21"/>
      </c>
      <c r="J70" s="41">
        <f t="shared" si="22"/>
      </c>
      <c r="K70" s="41">
        <f t="shared" si="23"/>
      </c>
      <c r="L70" s="41">
        <f t="shared" si="24"/>
      </c>
      <c r="M70" s="41">
        <f t="shared" si="25"/>
      </c>
      <c r="N70" s="41">
        <f t="shared" si="26"/>
      </c>
      <c r="O70" s="41">
        <f t="shared" si="27"/>
      </c>
      <c r="P70" s="41">
        <f t="shared" si="28"/>
      </c>
      <c r="Q70" s="41">
        <f t="shared" si="29"/>
      </c>
      <c r="R70" s="41">
        <f t="shared" si="30"/>
      </c>
      <c r="S70" s="41">
        <f t="shared" si="31"/>
      </c>
      <c r="T70" s="41">
        <f t="shared" si="32"/>
      </c>
      <c r="U70" s="41">
        <f t="shared" si="33"/>
      </c>
      <c r="V70" s="41">
        <f t="shared" si="34"/>
      </c>
      <c r="W70" s="41">
        <f t="shared" si="35"/>
      </c>
      <c r="X70" s="41">
        <f t="shared" si="36"/>
      </c>
      <c r="Y70" s="41">
        <f t="shared" si="37"/>
      </c>
      <c r="Z70" s="41">
        <f t="shared" si="38"/>
      </c>
      <c r="AA70" s="41">
        <f t="shared" si="39"/>
      </c>
      <c r="AB70" s="41">
        <f t="shared" si="40"/>
      </c>
      <c r="AC70" s="41">
        <f t="shared" si="41"/>
      </c>
      <c r="AD70" s="41">
        <f t="shared" si="42"/>
      </c>
      <c r="AE70" s="41">
        <f t="shared" si="43"/>
      </c>
      <c r="AF70" s="41">
        <f t="shared" si="44"/>
      </c>
      <c r="AG70" s="39"/>
      <c r="AH70" s="39"/>
      <c r="AI70" s="39"/>
      <c r="AJ70" s="39"/>
      <c r="AK70" s="39"/>
    </row>
    <row r="71" spans="4:37" ht="12.75">
      <c r="D71" s="8" t="s">
        <v>11</v>
      </c>
      <c r="E71" s="25">
        <f t="shared" si="19"/>
        <v>0</v>
      </c>
      <c r="F71" s="41">
        <f t="shared" si="45"/>
      </c>
      <c r="G71" s="41">
        <f t="shared" si="45"/>
      </c>
      <c r="H71" s="41">
        <f t="shared" si="20"/>
      </c>
      <c r="I71" s="41">
        <f t="shared" si="21"/>
      </c>
      <c r="J71" s="41">
        <f t="shared" si="22"/>
      </c>
      <c r="K71" s="41">
        <f t="shared" si="23"/>
      </c>
      <c r="L71" s="41">
        <f t="shared" si="24"/>
      </c>
      <c r="M71" s="41">
        <f t="shared" si="25"/>
      </c>
      <c r="N71" s="41">
        <f t="shared" si="26"/>
      </c>
      <c r="O71" s="41">
        <f t="shared" si="27"/>
      </c>
      <c r="P71" s="41">
        <f t="shared" si="28"/>
      </c>
      <c r="Q71" s="41">
        <f t="shared" si="29"/>
      </c>
      <c r="R71" s="41">
        <f t="shared" si="30"/>
      </c>
      <c r="S71" s="41">
        <f t="shared" si="31"/>
      </c>
      <c r="T71" s="41">
        <f t="shared" si="32"/>
      </c>
      <c r="U71" s="41">
        <f t="shared" si="33"/>
      </c>
      <c r="V71" s="41">
        <f t="shared" si="34"/>
      </c>
      <c r="W71" s="41">
        <f t="shared" si="35"/>
      </c>
      <c r="X71" s="41">
        <f t="shared" si="36"/>
      </c>
      <c r="Y71" s="41">
        <f t="shared" si="37"/>
      </c>
      <c r="Z71" s="41">
        <f t="shared" si="38"/>
      </c>
      <c r="AA71" s="41">
        <f t="shared" si="39"/>
      </c>
      <c r="AB71" s="41">
        <f t="shared" si="40"/>
      </c>
      <c r="AC71" s="41">
        <f t="shared" si="41"/>
      </c>
      <c r="AD71" s="41">
        <f t="shared" si="42"/>
      </c>
      <c r="AE71" s="41">
        <f t="shared" si="43"/>
      </c>
      <c r="AF71" s="41">
        <f t="shared" si="44"/>
      </c>
      <c r="AG71" s="39"/>
      <c r="AH71" s="39"/>
      <c r="AI71" s="39"/>
      <c r="AJ71" s="39"/>
      <c r="AK71" s="39"/>
    </row>
    <row r="72" spans="4:37" ht="12.75">
      <c r="D72" s="4" t="s">
        <v>12</v>
      </c>
      <c r="E72" s="25">
        <f t="shared" si="19"/>
        <v>0.5</v>
      </c>
      <c r="F72" s="41">
        <f t="shared" si="45"/>
        <v>5</v>
      </c>
      <c r="G72" s="41">
        <f t="shared" si="45"/>
        <v>3</v>
      </c>
      <c r="H72" s="41">
        <f t="shared" si="20"/>
        <v>2</v>
      </c>
      <c r="I72" s="41">
        <f t="shared" si="21"/>
        <v>2</v>
      </c>
      <c r="J72" s="41">
        <f t="shared" si="22"/>
        <v>3</v>
      </c>
      <c r="K72" s="41">
        <f t="shared" si="23"/>
        <v>3</v>
      </c>
      <c r="L72" s="41">
        <f t="shared" si="24"/>
        <v>4</v>
      </c>
      <c r="M72" s="41">
        <f t="shared" si="25"/>
        <v>3</v>
      </c>
      <c r="N72" s="41">
        <f t="shared" si="26"/>
        <v>1</v>
      </c>
      <c r="O72" s="41">
        <f t="shared" si="27"/>
        <v>2</v>
      </c>
      <c r="P72" s="41">
        <f t="shared" si="28"/>
        <v>1</v>
      </c>
      <c r="Q72" s="41">
        <f t="shared" si="29"/>
        <v>2</v>
      </c>
      <c r="R72" s="41">
        <f t="shared" si="30"/>
        <v>2</v>
      </c>
      <c r="S72" s="41">
        <f t="shared" si="31"/>
        <v>2</v>
      </c>
      <c r="T72" s="41">
        <f t="shared" si="32"/>
        <v>2</v>
      </c>
      <c r="U72" s="41">
        <f t="shared" si="33"/>
        <v>1</v>
      </c>
      <c r="V72" s="41">
        <f t="shared" si="34"/>
        <v>2</v>
      </c>
      <c r="W72" s="41">
        <f t="shared" si="35"/>
        <v>1</v>
      </c>
      <c r="X72" s="41">
        <f t="shared" si="36"/>
        <v>1</v>
      </c>
      <c r="Y72" s="41">
        <f t="shared" si="37"/>
        <v>2</v>
      </c>
      <c r="Z72" s="41">
        <f t="shared" si="38"/>
        <v>2</v>
      </c>
      <c r="AA72" s="41">
        <f t="shared" si="39"/>
        <v>1</v>
      </c>
      <c r="AB72" s="41">
        <f t="shared" si="40"/>
        <v>1</v>
      </c>
      <c r="AC72" s="41">
        <f t="shared" si="41"/>
        <v>1</v>
      </c>
      <c r="AD72" s="41">
        <f t="shared" si="42"/>
        <v>1</v>
      </c>
      <c r="AE72" s="41">
        <f t="shared" si="43"/>
        <v>2</v>
      </c>
      <c r="AF72" s="41">
        <f t="shared" si="44"/>
        <v>2</v>
      </c>
      <c r="AG72" s="39"/>
      <c r="AH72" s="39"/>
      <c r="AI72" s="39"/>
      <c r="AJ72" s="39"/>
      <c r="AK72" s="39"/>
    </row>
    <row r="73" spans="4:37" ht="12.75">
      <c r="D73" s="6" t="s">
        <v>13</v>
      </c>
      <c r="E73" s="25">
        <f t="shared" si="19"/>
        <v>0.5</v>
      </c>
      <c r="F73" s="41">
        <f t="shared" si="45"/>
        <v>4</v>
      </c>
      <c r="G73" s="41">
        <f t="shared" si="45"/>
        <v>4</v>
      </c>
      <c r="H73" s="41">
        <f t="shared" si="20"/>
        <v>3</v>
      </c>
      <c r="I73" s="41">
        <f t="shared" si="21"/>
        <v>3</v>
      </c>
      <c r="J73" s="41">
        <f t="shared" si="22"/>
        <v>4</v>
      </c>
      <c r="K73" s="41">
        <f t="shared" si="23"/>
        <v>4</v>
      </c>
      <c r="L73" s="41">
        <f t="shared" si="24"/>
        <v>4</v>
      </c>
      <c r="M73" s="41">
        <f t="shared" si="25"/>
        <v>4</v>
      </c>
      <c r="N73" s="41">
        <f t="shared" si="26"/>
        <v>2</v>
      </c>
      <c r="O73" s="41">
        <f t="shared" si="27"/>
        <v>3</v>
      </c>
      <c r="P73" s="41">
        <f t="shared" si="28"/>
        <v>1</v>
      </c>
      <c r="Q73" s="41">
        <f t="shared" si="29"/>
        <v>2</v>
      </c>
      <c r="R73" s="41">
        <f t="shared" si="30"/>
        <v>3</v>
      </c>
      <c r="S73" s="41">
        <f t="shared" si="31"/>
        <v>3</v>
      </c>
      <c r="T73" s="41">
        <f t="shared" si="32"/>
        <v>3</v>
      </c>
      <c r="U73" s="41">
        <f t="shared" si="33"/>
        <v>2</v>
      </c>
      <c r="V73" s="41">
        <f t="shared" si="34"/>
        <v>2</v>
      </c>
      <c r="W73" s="41">
        <f t="shared" si="35"/>
        <v>2</v>
      </c>
      <c r="X73" s="41">
        <f t="shared" si="36"/>
        <v>2</v>
      </c>
      <c r="Y73" s="41">
        <f t="shared" si="37"/>
        <v>4</v>
      </c>
      <c r="Z73" s="41">
        <f t="shared" si="38"/>
        <v>4</v>
      </c>
      <c r="AA73" s="41">
        <f t="shared" si="39"/>
        <v>2</v>
      </c>
      <c r="AB73" s="41">
        <f t="shared" si="40"/>
        <v>2</v>
      </c>
      <c r="AC73" s="41">
        <f t="shared" si="41"/>
        <v>2</v>
      </c>
      <c r="AD73" s="41">
        <f t="shared" si="42"/>
        <v>3</v>
      </c>
      <c r="AE73" s="41">
        <f t="shared" si="43"/>
        <v>3</v>
      </c>
      <c r="AF73" s="41">
        <f t="shared" si="44"/>
        <v>3</v>
      </c>
      <c r="AG73" s="39"/>
      <c r="AH73" s="39"/>
      <c r="AI73" s="39"/>
      <c r="AJ73" s="39"/>
      <c r="AK73" s="39"/>
    </row>
    <row r="74" spans="4:37" ht="12.75">
      <c r="D74" s="8" t="s">
        <v>14</v>
      </c>
      <c r="E74" s="25">
        <f t="shared" si="19"/>
        <v>0</v>
      </c>
      <c r="F74" s="41">
        <f t="shared" si="45"/>
      </c>
      <c r="G74" s="41">
        <f t="shared" si="45"/>
      </c>
      <c r="H74" s="41">
        <f t="shared" si="20"/>
      </c>
      <c r="I74" s="41">
        <f t="shared" si="21"/>
      </c>
      <c r="J74" s="41">
        <f t="shared" si="22"/>
      </c>
      <c r="K74" s="41">
        <f t="shared" si="23"/>
      </c>
      <c r="L74" s="41">
        <f t="shared" si="24"/>
      </c>
      <c r="M74" s="41">
        <f t="shared" si="25"/>
      </c>
      <c r="N74" s="41">
        <f t="shared" si="26"/>
      </c>
      <c r="O74" s="41">
        <f t="shared" si="27"/>
      </c>
      <c r="P74" s="41">
        <f t="shared" si="28"/>
      </c>
      <c r="Q74" s="41">
        <f t="shared" si="29"/>
      </c>
      <c r="R74" s="41">
        <f t="shared" si="30"/>
      </c>
      <c r="S74" s="41">
        <f t="shared" si="31"/>
      </c>
      <c r="T74" s="41">
        <f t="shared" si="32"/>
      </c>
      <c r="U74" s="41">
        <f t="shared" si="33"/>
      </c>
      <c r="V74" s="41">
        <f t="shared" si="34"/>
      </c>
      <c r="W74" s="41">
        <f t="shared" si="35"/>
      </c>
      <c r="X74" s="41">
        <f t="shared" si="36"/>
      </c>
      <c r="Y74" s="41">
        <f t="shared" si="37"/>
      </c>
      <c r="Z74" s="41">
        <f t="shared" si="38"/>
      </c>
      <c r="AA74" s="41">
        <f t="shared" si="39"/>
      </c>
      <c r="AB74" s="41">
        <f t="shared" si="40"/>
      </c>
      <c r="AC74" s="41">
        <f t="shared" si="41"/>
      </c>
      <c r="AD74" s="41">
        <f t="shared" si="42"/>
      </c>
      <c r="AE74" s="41">
        <f t="shared" si="43"/>
      </c>
      <c r="AF74" s="41">
        <f t="shared" si="44"/>
      </c>
      <c r="AG74" s="39"/>
      <c r="AH74" s="39"/>
      <c r="AI74" s="39"/>
      <c r="AJ74" s="39"/>
      <c r="AK74" s="39"/>
    </row>
    <row r="75" spans="4:37" ht="12.75">
      <c r="D75" s="8" t="s">
        <v>15</v>
      </c>
      <c r="E75" s="25">
        <f t="shared" si="19"/>
        <v>0.5</v>
      </c>
      <c r="F75" s="41">
        <f t="shared" si="45"/>
        <v>5</v>
      </c>
      <c r="G75" s="41">
        <f t="shared" si="45"/>
        <v>4</v>
      </c>
      <c r="H75" s="41">
        <f t="shared" si="20"/>
        <v>2</v>
      </c>
      <c r="I75" s="41">
        <f t="shared" si="21"/>
        <v>3</v>
      </c>
      <c r="J75" s="41">
        <f t="shared" si="22"/>
        <v>4</v>
      </c>
      <c r="K75" s="41">
        <f t="shared" si="23"/>
        <v>4</v>
      </c>
      <c r="L75" s="41">
        <f t="shared" si="24"/>
        <v>3</v>
      </c>
      <c r="M75" s="41">
        <f t="shared" si="25"/>
        <v>3</v>
      </c>
      <c r="N75" s="41">
        <f t="shared" si="26"/>
        <v>2</v>
      </c>
      <c r="O75" s="41">
        <f t="shared" si="27"/>
        <v>3</v>
      </c>
      <c r="P75" s="41">
        <f t="shared" si="28"/>
        <v>1</v>
      </c>
      <c r="Q75" s="41">
        <f t="shared" si="29"/>
        <v>2</v>
      </c>
      <c r="R75" s="41">
        <f t="shared" si="30"/>
        <v>2</v>
      </c>
      <c r="S75" s="41">
        <f t="shared" si="31"/>
        <v>2</v>
      </c>
      <c r="T75" s="41">
        <f t="shared" si="32"/>
        <v>2</v>
      </c>
      <c r="U75" s="41">
        <f t="shared" si="33"/>
        <v>2</v>
      </c>
      <c r="V75" s="41">
        <f t="shared" si="34"/>
        <v>2</v>
      </c>
      <c r="W75" s="41">
        <f t="shared" si="35"/>
        <v>2</v>
      </c>
      <c r="X75" s="41">
        <f t="shared" si="36"/>
        <v>2</v>
      </c>
      <c r="Y75" s="41">
        <f t="shared" si="37"/>
        <v>4</v>
      </c>
      <c r="Z75" s="41">
        <f t="shared" si="38"/>
        <v>4</v>
      </c>
      <c r="AA75" s="41">
        <f t="shared" si="39"/>
        <v>2</v>
      </c>
      <c r="AB75" s="41">
        <f t="shared" si="40"/>
        <v>2</v>
      </c>
      <c r="AC75" s="41">
        <f t="shared" si="41"/>
        <v>2</v>
      </c>
      <c r="AD75" s="41">
        <f t="shared" si="42"/>
        <v>2</v>
      </c>
      <c r="AE75" s="41">
        <f t="shared" si="43"/>
        <v>2</v>
      </c>
      <c r="AF75" s="41">
        <f t="shared" si="44"/>
        <v>2</v>
      </c>
      <c r="AG75" s="39"/>
      <c r="AH75" s="39"/>
      <c r="AI75" s="39"/>
      <c r="AJ75" s="39"/>
      <c r="AK75" s="39"/>
    </row>
    <row r="76" spans="4:37" ht="12.75">
      <c r="D76" s="8" t="s">
        <v>16</v>
      </c>
      <c r="E76" s="25">
        <f t="shared" si="19"/>
        <v>1</v>
      </c>
      <c r="F76" s="41">
        <f t="shared" si="45"/>
      </c>
      <c r="G76" s="41">
        <f t="shared" si="45"/>
      </c>
      <c r="H76" s="41">
        <f t="shared" si="20"/>
      </c>
      <c r="I76" s="41">
        <f t="shared" si="21"/>
      </c>
      <c r="J76" s="41">
        <f t="shared" si="22"/>
      </c>
      <c r="K76" s="41">
        <f t="shared" si="23"/>
      </c>
      <c r="L76" s="41">
        <f t="shared" si="24"/>
      </c>
      <c r="M76" s="41">
        <f t="shared" si="25"/>
      </c>
      <c r="N76" s="41">
        <f t="shared" si="26"/>
      </c>
      <c r="O76" s="41">
        <f t="shared" si="27"/>
      </c>
      <c r="P76" s="41">
        <f t="shared" si="28"/>
      </c>
      <c r="Q76" s="41">
        <f t="shared" si="29"/>
      </c>
      <c r="R76" s="41">
        <f t="shared" si="30"/>
      </c>
      <c r="S76" s="41">
        <f t="shared" si="31"/>
      </c>
      <c r="T76" s="41">
        <f t="shared" si="32"/>
      </c>
      <c r="U76" s="41">
        <f t="shared" si="33"/>
      </c>
      <c r="V76" s="41">
        <f t="shared" si="34"/>
      </c>
      <c r="W76" s="41">
        <f t="shared" si="35"/>
      </c>
      <c r="X76" s="41">
        <f t="shared" si="36"/>
      </c>
      <c r="Y76" s="41">
        <f t="shared" si="37"/>
      </c>
      <c r="Z76" s="41">
        <f t="shared" si="38"/>
      </c>
      <c r="AA76" s="41">
        <f t="shared" si="39"/>
      </c>
      <c r="AB76" s="41">
        <f t="shared" si="40"/>
      </c>
      <c r="AC76" s="41">
        <f t="shared" si="41"/>
      </c>
      <c r="AD76" s="41">
        <f t="shared" si="42"/>
      </c>
      <c r="AE76" s="41">
        <f t="shared" si="43"/>
      </c>
      <c r="AF76" s="41">
        <f t="shared" si="44"/>
      </c>
      <c r="AG76" s="39"/>
      <c r="AH76" s="39"/>
      <c r="AI76" s="39"/>
      <c r="AJ76" s="39"/>
      <c r="AK76" s="39"/>
    </row>
    <row r="77" spans="4:37" ht="12.75">
      <c r="D77" s="9" t="s">
        <v>17</v>
      </c>
      <c r="E77" s="25">
        <f t="shared" si="19"/>
        <v>3</v>
      </c>
      <c r="F77" s="41">
        <f t="shared" si="45"/>
        <v>4</v>
      </c>
      <c r="G77" s="41">
        <f t="shared" si="45"/>
        <v>3</v>
      </c>
      <c r="H77" s="41">
        <f t="shared" si="20"/>
        <v>2</v>
      </c>
      <c r="I77" s="41">
        <f t="shared" si="21"/>
        <v>4</v>
      </c>
      <c r="J77" s="41">
        <f t="shared" si="22"/>
        <v>4</v>
      </c>
      <c r="K77" s="41">
        <f t="shared" si="23"/>
        <v>4</v>
      </c>
      <c r="L77" s="41">
        <f t="shared" si="24"/>
        <v>3</v>
      </c>
      <c r="M77" s="41">
        <f t="shared" si="25"/>
        <v>3</v>
      </c>
      <c r="N77" s="41">
        <f t="shared" si="26"/>
        <v>1</v>
      </c>
      <c r="O77" s="41">
        <f t="shared" si="27"/>
        <v>3</v>
      </c>
      <c r="P77" s="41">
        <f t="shared" si="28"/>
        <v>1</v>
      </c>
      <c r="Q77" s="41">
        <f t="shared" si="29"/>
        <v>3</v>
      </c>
      <c r="R77" s="41">
        <f t="shared" si="30"/>
        <v>3</v>
      </c>
      <c r="S77" s="41">
        <f t="shared" si="31"/>
        <v>2</v>
      </c>
      <c r="T77" s="41">
        <f t="shared" si="32"/>
        <v>2</v>
      </c>
      <c r="U77" s="41">
        <f t="shared" si="33"/>
        <v>1</v>
      </c>
      <c r="V77" s="41">
        <f t="shared" si="34"/>
        <v>1</v>
      </c>
      <c r="W77" s="41">
        <f t="shared" si="35"/>
        <v>3</v>
      </c>
      <c r="X77" s="41">
        <f t="shared" si="36"/>
        <v>2</v>
      </c>
      <c r="Y77" s="41">
        <f t="shared" si="37"/>
        <v>2</v>
      </c>
      <c r="Z77" s="41">
        <f t="shared" si="38"/>
        <v>2</v>
      </c>
      <c r="AA77" s="41">
        <f t="shared" si="39"/>
        <v>1</v>
      </c>
      <c r="AB77" s="41">
        <f t="shared" si="40"/>
        <v>1</v>
      </c>
      <c r="AC77" s="41">
        <f t="shared" si="41"/>
        <v>1</v>
      </c>
      <c r="AD77" s="41">
        <f t="shared" si="42"/>
        <v>1</v>
      </c>
      <c r="AE77" s="41">
        <f t="shared" si="43"/>
        <v>1</v>
      </c>
      <c r="AF77" s="41">
        <f t="shared" si="44"/>
        <v>1</v>
      </c>
      <c r="AG77" s="39"/>
      <c r="AH77" s="39"/>
      <c r="AI77" s="39"/>
      <c r="AJ77" s="39"/>
      <c r="AK77" s="39"/>
    </row>
    <row r="78" spans="4:37" ht="12.75">
      <c r="D78" s="30" t="s">
        <v>18</v>
      </c>
      <c r="E78" s="25">
        <f t="shared" si="19"/>
        <v>2</v>
      </c>
      <c r="F78" s="41">
        <f t="shared" si="45"/>
        <v>4</v>
      </c>
      <c r="G78" s="41">
        <f t="shared" si="45"/>
        <v>4</v>
      </c>
      <c r="H78" s="41">
        <f t="shared" si="20"/>
        <v>3</v>
      </c>
      <c r="I78" s="41">
        <f t="shared" si="21"/>
        <v>5</v>
      </c>
      <c r="J78" s="41">
        <f t="shared" si="22"/>
        <v>4</v>
      </c>
      <c r="K78" s="41">
        <f t="shared" si="23"/>
        <v>4</v>
      </c>
      <c r="L78" s="41">
        <f t="shared" si="24"/>
        <v>4</v>
      </c>
      <c r="M78" s="41">
        <f t="shared" si="25"/>
        <v>4</v>
      </c>
      <c r="N78" s="41">
        <f t="shared" si="26"/>
        <v>1</v>
      </c>
      <c r="O78" s="41">
        <f t="shared" si="27"/>
        <v>3</v>
      </c>
      <c r="P78" s="41">
        <f t="shared" si="28"/>
        <v>1</v>
      </c>
      <c r="Q78" s="41">
        <f t="shared" si="29"/>
        <v>4</v>
      </c>
      <c r="R78" s="41">
        <f t="shared" si="30"/>
        <v>3</v>
      </c>
      <c r="S78" s="41">
        <f t="shared" si="31"/>
        <v>1</v>
      </c>
      <c r="T78" s="41">
        <f t="shared" si="32"/>
        <v>1</v>
      </c>
      <c r="U78" s="41">
        <f t="shared" si="33"/>
        <v>1</v>
      </c>
      <c r="V78" s="41">
        <f t="shared" si="34"/>
        <v>1</v>
      </c>
      <c r="W78" s="41">
        <f t="shared" si="35"/>
        <v>3</v>
      </c>
      <c r="X78" s="41">
        <f t="shared" si="36"/>
        <v>1</v>
      </c>
      <c r="Y78" s="41">
        <f t="shared" si="37"/>
        <v>1</v>
      </c>
      <c r="Z78" s="41">
        <f t="shared" si="38"/>
        <v>1</v>
      </c>
      <c r="AA78" s="41">
        <f t="shared" si="39"/>
        <v>1</v>
      </c>
      <c r="AB78" s="41">
        <f t="shared" si="40"/>
        <v>1</v>
      </c>
      <c r="AC78" s="41">
        <f t="shared" si="41"/>
        <v>1</v>
      </c>
      <c r="AD78" s="41">
        <f t="shared" si="42"/>
        <v>1</v>
      </c>
      <c r="AE78" s="41">
        <f t="shared" si="43"/>
        <v>1</v>
      </c>
      <c r="AF78" s="41">
        <f t="shared" si="44"/>
        <v>1</v>
      </c>
      <c r="AG78" s="39"/>
      <c r="AH78" s="39"/>
      <c r="AI78" s="39"/>
      <c r="AJ78" s="39"/>
      <c r="AK78" s="39"/>
    </row>
    <row r="79" spans="4:37" ht="12.75">
      <c r="D79" s="7" t="s">
        <v>19</v>
      </c>
      <c r="E79" s="25">
        <f t="shared" si="19"/>
        <v>1</v>
      </c>
      <c r="F79" s="41">
        <f t="shared" si="45"/>
        <v>4</v>
      </c>
      <c r="G79" s="41">
        <f t="shared" si="45"/>
        <v>2</v>
      </c>
      <c r="H79" s="41">
        <f t="shared" si="20"/>
        <v>1</v>
      </c>
      <c r="I79" s="41">
        <f>IF(ISERROR(CODE(I37)),"",IF(I37="A - D",2,IF(I37="D/E",4.5,CODE(I37)-64)))</f>
        <v>2</v>
      </c>
      <c r="J79" s="41">
        <f t="shared" si="22"/>
        <v>3</v>
      </c>
      <c r="K79" s="41">
        <f t="shared" si="23"/>
        <v>1</v>
      </c>
      <c r="L79" s="41">
        <f t="shared" si="24"/>
        <v>2</v>
      </c>
      <c r="M79" s="41">
        <f t="shared" si="25"/>
        <v>5</v>
      </c>
      <c r="N79" s="41">
        <f t="shared" si="26"/>
        <v>1</v>
      </c>
      <c r="O79" s="41">
        <f t="shared" si="27"/>
        <v>1</v>
      </c>
      <c r="P79" s="41">
        <f t="shared" si="28"/>
        <v>1</v>
      </c>
      <c r="Q79" s="41">
        <f t="shared" si="29"/>
        <v>2</v>
      </c>
      <c r="R79" s="41">
        <f t="shared" si="30"/>
        <v>2</v>
      </c>
      <c r="S79" s="41">
        <f t="shared" si="31"/>
        <v>1</v>
      </c>
      <c r="T79" s="41">
        <f t="shared" si="32"/>
        <v>1</v>
      </c>
      <c r="U79" s="41">
        <f t="shared" si="33"/>
        <v>1</v>
      </c>
      <c r="V79" s="41">
        <f t="shared" si="34"/>
        <v>1</v>
      </c>
      <c r="W79" s="41">
        <f t="shared" si="35"/>
        <v>2</v>
      </c>
      <c r="X79" s="41">
        <f t="shared" si="36"/>
        <v>2</v>
      </c>
      <c r="Y79" s="41">
        <f t="shared" si="37"/>
        <v>1</v>
      </c>
      <c r="Z79" s="41">
        <f t="shared" si="38"/>
        <v>1</v>
      </c>
      <c r="AA79" s="41">
        <f t="shared" si="39"/>
        <v>1</v>
      </c>
      <c r="AB79" s="41">
        <f t="shared" si="40"/>
        <v>1</v>
      </c>
      <c r="AC79" s="41">
        <f t="shared" si="41"/>
        <v>2</v>
      </c>
      <c r="AD79" s="41">
        <f t="shared" si="42"/>
        <v>1</v>
      </c>
      <c r="AE79" s="41">
        <f t="shared" si="43"/>
        <v>1</v>
      </c>
      <c r="AF79" s="41">
        <f t="shared" si="44"/>
        <v>2</v>
      </c>
      <c r="AG79" s="39"/>
      <c r="AH79" s="39"/>
      <c r="AI79" s="39"/>
      <c r="AJ79" s="39"/>
      <c r="AK79" s="39"/>
    </row>
    <row r="80" spans="4:37" ht="12.75">
      <c r="D80" s="9" t="s">
        <v>20</v>
      </c>
      <c r="E80" s="25">
        <f t="shared" si="19"/>
        <v>0</v>
      </c>
      <c r="F80" s="41">
        <f t="shared" si="45"/>
      </c>
      <c r="G80" s="41">
        <f t="shared" si="45"/>
      </c>
      <c r="H80" s="41">
        <f t="shared" si="20"/>
      </c>
      <c r="I80" s="41">
        <f t="shared" si="21"/>
      </c>
      <c r="J80" s="41">
        <f t="shared" si="22"/>
      </c>
      <c r="K80" s="41">
        <f t="shared" si="23"/>
      </c>
      <c r="L80" s="41">
        <f t="shared" si="24"/>
      </c>
      <c r="M80" s="41">
        <f t="shared" si="25"/>
      </c>
      <c r="N80" s="41">
        <f t="shared" si="26"/>
      </c>
      <c r="O80" s="41">
        <f t="shared" si="27"/>
      </c>
      <c r="P80" s="41">
        <f t="shared" si="28"/>
      </c>
      <c r="Q80" s="41">
        <f t="shared" si="29"/>
      </c>
      <c r="R80" s="41">
        <f t="shared" si="30"/>
      </c>
      <c r="S80" s="41">
        <f t="shared" si="31"/>
      </c>
      <c r="T80" s="41">
        <f t="shared" si="32"/>
      </c>
      <c r="U80" s="41">
        <f t="shared" si="33"/>
      </c>
      <c r="V80" s="41">
        <f t="shared" si="34"/>
      </c>
      <c r="W80" s="41">
        <f t="shared" si="35"/>
      </c>
      <c r="X80" s="41">
        <f t="shared" si="36"/>
      </c>
      <c r="Y80" s="41">
        <f t="shared" si="37"/>
      </c>
      <c r="Z80" s="41">
        <f t="shared" si="38"/>
      </c>
      <c r="AA80" s="41">
        <f t="shared" si="39"/>
      </c>
      <c r="AB80" s="41">
        <f t="shared" si="40"/>
      </c>
      <c r="AC80" s="41">
        <f t="shared" si="41"/>
      </c>
      <c r="AD80" s="41">
        <f t="shared" si="42"/>
      </c>
      <c r="AE80" s="41">
        <f t="shared" si="43"/>
      </c>
      <c r="AF80" s="41">
        <f t="shared" si="44"/>
      </c>
      <c r="AG80" s="39"/>
      <c r="AH80" s="39"/>
      <c r="AI80" s="39"/>
      <c r="AJ80" s="39"/>
      <c r="AK80" s="39"/>
    </row>
    <row r="81" spans="4:37" ht="12.75">
      <c r="D81" s="7" t="s">
        <v>21</v>
      </c>
      <c r="E81" s="25">
        <f t="shared" si="19"/>
        <v>0.25</v>
      </c>
      <c r="F81" s="41">
        <f t="shared" si="45"/>
        <v>2</v>
      </c>
      <c r="G81" s="41">
        <f t="shared" si="45"/>
        <v>2</v>
      </c>
      <c r="H81" s="41">
        <f t="shared" si="20"/>
        <v>2</v>
      </c>
      <c r="I81" s="41">
        <f t="shared" si="21"/>
        <v>2</v>
      </c>
      <c r="J81" s="41">
        <f t="shared" si="22"/>
        <v>2</v>
      </c>
      <c r="K81" s="41">
        <f t="shared" si="23"/>
        <v>2</v>
      </c>
      <c r="L81" s="41">
        <f t="shared" si="24"/>
      </c>
      <c r="M81" s="41">
        <f t="shared" si="25"/>
      </c>
      <c r="N81" s="41">
        <f t="shared" si="26"/>
        <v>2</v>
      </c>
      <c r="O81" s="41">
        <f t="shared" si="27"/>
        <v>2</v>
      </c>
      <c r="P81" s="41">
        <f t="shared" si="28"/>
        <v>2</v>
      </c>
      <c r="Q81" s="41">
        <f t="shared" si="29"/>
        <v>2</v>
      </c>
      <c r="R81" s="41">
        <f t="shared" si="30"/>
        <v>2</v>
      </c>
      <c r="S81" s="41">
        <f t="shared" si="31"/>
      </c>
      <c r="T81" s="41">
        <f t="shared" si="32"/>
      </c>
      <c r="U81" s="41">
        <f t="shared" si="33"/>
      </c>
      <c r="V81" s="41">
        <f t="shared" si="34"/>
      </c>
      <c r="W81" s="41">
        <f t="shared" si="35"/>
      </c>
      <c r="X81" s="41">
        <f t="shared" si="36"/>
      </c>
      <c r="Y81" s="41">
        <f t="shared" si="37"/>
      </c>
      <c r="Z81" s="41">
        <f t="shared" si="38"/>
      </c>
      <c r="AA81" s="41">
        <f t="shared" si="39"/>
      </c>
      <c r="AB81" s="41">
        <f t="shared" si="40"/>
      </c>
      <c r="AC81" s="41">
        <f t="shared" si="41"/>
      </c>
      <c r="AD81" s="41">
        <f t="shared" si="42"/>
      </c>
      <c r="AE81" s="41">
        <f t="shared" si="43"/>
      </c>
      <c r="AF81" s="41">
        <f t="shared" si="44"/>
      </c>
      <c r="AG81" s="39"/>
      <c r="AH81" s="39"/>
      <c r="AI81" s="39"/>
      <c r="AJ81" s="39"/>
      <c r="AK81" s="39"/>
    </row>
    <row r="82" spans="4:37" ht="12.75">
      <c r="D82" s="9" t="s">
        <v>22</v>
      </c>
      <c r="E82" s="25">
        <f t="shared" si="19"/>
        <v>0.25</v>
      </c>
      <c r="F82" s="41">
        <f t="shared" si="45"/>
        <v>2</v>
      </c>
      <c r="G82" s="41">
        <f t="shared" si="45"/>
        <v>2</v>
      </c>
      <c r="H82" s="41">
        <f t="shared" si="20"/>
        <v>2</v>
      </c>
      <c r="I82" s="41">
        <f t="shared" si="21"/>
        <v>2</v>
      </c>
      <c r="J82" s="41">
        <f t="shared" si="22"/>
        <v>5</v>
      </c>
      <c r="K82" s="41">
        <f t="shared" si="23"/>
        <v>2</v>
      </c>
      <c r="L82" s="41">
        <f t="shared" si="24"/>
      </c>
      <c r="M82" s="41">
        <f t="shared" si="25"/>
      </c>
      <c r="N82" s="41">
        <f t="shared" si="26"/>
        <v>2</v>
      </c>
      <c r="O82" s="41">
        <f t="shared" si="27"/>
        <v>2</v>
      </c>
      <c r="P82" s="41">
        <f t="shared" si="28"/>
        <v>2</v>
      </c>
      <c r="Q82" s="41">
        <f t="shared" si="29"/>
        <v>2</v>
      </c>
      <c r="R82" s="41">
        <f t="shared" si="30"/>
        <v>2</v>
      </c>
      <c r="S82" s="41">
        <f t="shared" si="31"/>
      </c>
      <c r="T82" s="41">
        <f t="shared" si="32"/>
      </c>
      <c r="U82" s="41">
        <f t="shared" si="33"/>
      </c>
      <c r="V82" s="41">
        <f t="shared" si="34"/>
      </c>
      <c r="W82" s="41">
        <f t="shared" si="35"/>
      </c>
      <c r="X82" s="41">
        <f t="shared" si="36"/>
      </c>
      <c r="Y82" s="41">
        <f t="shared" si="37"/>
      </c>
      <c r="Z82" s="41">
        <f t="shared" si="38"/>
      </c>
      <c r="AA82" s="41">
        <f t="shared" si="39"/>
      </c>
      <c r="AB82" s="41">
        <f t="shared" si="40"/>
      </c>
      <c r="AC82" s="41">
        <f t="shared" si="41"/>
      </c>
      <c r="AD82" s="41">
        <f t="shared" si="42"/>
      </c>
      <c r="AE82" s="41">
        <f t="shared" si="43"/>
      </c>
      <c r="AF82" s="41">
        <f t="shared" si="44"/>
      </c>
      <c r="AG82" s="39"/>
      <c r="AH82" s="39"/>
      <c r="AI82" s="39"/>
      <c r="AJ82" s="39"/>
      <c r="AK82" s="39"/>
    </row>
    <row r="83" spans="4:37" ht="12.75">
      <c r="D83" s="9" t="s">
        <v>23</v>
      </c>
      <c r="E83" s="25">
        <f t="shared" si="19"/>
        <v>0.25</v>
      </c>
      <c r="F83" s="41">
        <f t="shared" si="45"/>
        <v>2</v>
      </c>
      <c r="G83" s="41">
        <f t="shared" si="45"/>
        <v>2</v>
      </c>
      <c r="H83" s="41">
        <f t="shared" si="20"/>
        <v>2</v>
      </c>
      <c r="I83" s="41">
        <f t="shared" si="21"/>
        <v>2</v>
      </c>
      <c r="J83" s="41">
        <f t="shared" si="22"/>
        <v>5</v>
      </c>
      <c r="K83" s="41">
        <f t="shared" si="23"/>
        <v>5</v>
      </c>
      <c r="L83" s="41">
        <f t="shared" si="24"/>
      </c>
      <c r="M83" s="41">
        <f t="shared" si="25"/>
      </c>
      <c r="N83" s="41">
        <f t="shared" si="26"/>
        <v>2</v>
      </c>
      <c r="O83" s="41">
        <f t="shared" si="27"/>
        <v>2</v>
      </c>
      <c r="P83" s="41">
        <f t="shared" si="28"/>
        <v>2</v>
      </c>
      <c r="Q83" s="41">
        <f t="shared" si="29"/>
        <v>2</v>
      </c>
      <c r="R83" s="41">
        <f t="shared" si="30"/>
        <v>5</v>
      </c>
      <c r="S83" s="41">
        <f t="shared" si="31"/>
      </c>
      <c r="T83" s="41">
        <f t="shared" si="32"/>
      </c>
      <c r="U83" s="41">
        <f t="shared" si="33"/>
      </c>
      <c r="V83" s="41">
        <f t="shared" si="34"/>
      </c>
      <c r="W83" s="41">
        <f t="shared" si="35"/>
      </c>
      <c r="X83" s="41">
        <f t="shared" si="36"/>
      </c>
      <c r="Y83" s="41">
        <f t="shared" si="37"/>
      </c>
      <c r="Z83" s="41">
        <f t="shared" si="38"/>
      </c>
      <c r="AA83" s="41">
        <f t="shared" si="39"/>
      </c>
      <c r="AB83" s="41">
        <f t="shared" si="40"/>
      </c>
      <c r="AC83" s="41">
        <f t="shared" si="41"/>
      </c>
      <c r="AD83" s="41">
        <f t="shared" si="42"/>
      </c>
      <c r="AE83" s="41">
        <f t="shared" si="43"/>
      </c>
      <c r="AF83" s="41">
        <f t="shared" si="44"/>
      </c>
      <c r="AG83" s="39"/>
      <c r="AH83" s="39"/>
      <c r="AI83" s="39"/>
      <c r="AJ83" s="39"/>
      <c r="AK83" s="39"/>
    </row>
    <row r="84" spans="4:37" ht="12.75">
      <c r="D84" s="9" t="s">
        <v>24</v>
      </c>
      <c r="E84" s="25">
        <f t="shared" si="19"/>
        <v>0.25</v>
      </c>
      <c r="F84" s="41">
        <f t="shared" si="45"/>
        <v>2</v>
      </c>
      <c r="G84" s="41">
        <f t="shared" si="45"/>
        <v>2</v>
      </c>
      <c r="H84" s="41">
        <f t="shared" si="20"/>
        <v>2</v>
      </c>
      <c r="I84" s="41">
        <f t="shared" si="21"/>
        <v>5</v>
      </c>
      <c r="J84" s="41">
        <f t="shared" si="22"/>
        <v>5</v>
      </c>
      <c r="K84" s="41">
        <f t="shared" si="23"/>
        <v>5</v>
      </c>
      <c r="L84" s="41">
        <f t="shared" si="24"/>
      </c>
      <c r="M84" s="41">
        <f t="shared" si="25"/>
      </c>
      <c r="N84" s="41">
        <f t="shared" si="26"/>
        <v>2</v>
      </c>
      <c r="O84" s="41">
        <f t="shared" si="27"/>
        <v>2</v>
      </c>
      <c r="P84" s="41">
        <f t="shared" si="28"/>
        <v>2</v>
      </c>
      <c r="Q84" s="41">
        <f t="shared" si="29"/>
        <v>2</v>
      </c>
      <c r="R84" s="41">
        <f t="shared" si="30"/>
        <v>2</v>
      </c>
      <c r="S84" s="41">
        <f t="shared" si="31"/>
      </c>
      <c r="T84" s="41">
        <f t="shared" si="32"/>
      </c>
      <c r="U84" s="41">
        <f t="shared" si="33"/>
      </c>
      <c r="V84" s="41">
        <f t="shared" si="34"/>
      </c>
      <c r="W84" s="41">
        <f t="shared" si="35"/>
      </c>
      <c r="X84" s="41">
        <f t="shared" si="36"/>
      </c>
      <c r="Y84" s="41">
        <f t="shared" si="37"/>
      </c>
      <c r="Z84" s="41">
        <f t="shared" si="38"/>
      </c>
      <c r="AA84" s="41">
        <f t="shared" si="39"/>
      </c>
      <c r="AB84" s="41">
        <f t="shared" si="40"/>
      </c>
      <c r="AC84" s="41">
        <f t="shared" si="41"/>
      </c>
      <c r="AD84" s="41">
        <f t="shared" si="42"/>
      </c>
      <c r="AE84" s="41">
        <f t="shared" si="43"/>
      </c>
      <c r="AF84" s="41">
        <f t="shared" si="44"/>
      </c>
      <c r="AG84" s="39"/>
      <c r="AH84" s="39"/>
      <c r="AI84" s="39"/>
      <c r="AJ84" s="39"/>
      <c r="AK84" s="39"/>
    </row>
    <row r="85" spans="4:37" ht="12.75">
      <c r="D85" s="27"/>
      <c r="E85" s="25">
        <f t="shared" si="19"/>
        <v>0</v>
      </c>
      <c r="F85" s="41">
        <f t="shared" si="45"/>
      </c>
      <c r="G85" s="41">
        <f t="shared" si="45"/>
      </c>
      <c r="H85" s="41">
        <f t="shared" si="20"/>
      </c>
      <c r="I85" s="41">
        <f t="shared" si="21"/>
      </c>
      <c r="J85" s="41">
        <f t="shared" si="22"/>
      </c>
      <c r="K85" s="41">
        <f t="shared" si="23"/>
      </c>
      <c r="L85" s="41">
        <f t="shared" si="24"/>
      </c>
      <c r="M85" s="41">
        <f t="shared" si="25"/>
      </c>
      <c r="N85" s="41">
        <f t="shared" si="26"/>
      </c>
      <c r="O85" s="41">
        <f t="shared" si="27"/>
      </c>
      <c r="P85" s="41">
        <f t="shared" si="28"/>
      </c>
      <c r="Q85" s="41">
        <f t="shared" si="29"/>
      </c>
      <c r="R85" s="41">
        <f t="shared" si="30"/>
      </c>
      <c r="S85" s="41">
        <f t="shared" si="31"/>
      </c>
      <c r="T85" s="41">
        <f t="shared" si="32"/>
      </c>
      <c r="U85" s="41">
        <f t="shared" si="33"/>
      </c>
      <c r="V85" s="41">
        <f t="shared" si="34"/>
      </c>
      <c r="W85" s="41">
        <f t="shared" si="35"/>
      </c>
      <c r="X85" s="41">
        <f t="shared" si="36"/>
      </c>
      <c r="Y85" s="41">
        <f t="shared" si="37"/>
      </c>
      <c r="Z85" s="41">
        <f t="shared" si="38"/>
      </c>
      <c r="AA85" s="41">
        <f t="shared" si="39"/>
      </c>
      <c r="AB85" s="41">
        <f t="shared" si="40"/>
      </c>
      <c r="AC85" s="41">
        <f t="shared" si="41"/>
      </c>
      <c r="AD85" s="41">
        <f t="shared" si="42"/>
      </c>
      <c r="AE85" s="41">
        <f t="shared" si="43"/>
      </c>
      <c r="AF85" s="41">
        <f t="shared" si="44"/>
      </c>
      <c r="AG85" s="39"/>
      <c r="AH85" s="39"/>
      <c r="AI85" s="39"/>
      <c r="AJ85" s="39"/>
      <c r="AK85" s="39"/>
    </row>
    <row r="86" spans="4:37" ht="12.75">
      <c r="D86" s="9" t="s">
        <v>28</v>
      </c>
      <c r="E86" s="25">
        <f t="shared" si="19"/>
        <v>0.026</v>
      </c>
      <c r="F86" s="44">
        <f aca="true" t="shared" si="46" ref="F86:F101">IF(ISERROR(CODE(F44)),"",IF(F44="A - D",2,CODE(F44)-64))</f>
      </c>
      <c r="G86" s="44">
        <f aca="true" t="shared" si="47" ref="G86:G101">IF(ISERROR(CODE(G44)),"",IF(G44="A - D",2,CODE(G44)-64))</f>
      </c>
      <c r="H86" s="41">
        <f t="shared" si="20"/>
        <v>5</v>
      </c>
      <c r="I86" s="41">
        <f t="shared" si="21"/>
        <v>5</v>
      </c>
      <c r="J86" s="41">
        <f t="shared" si="22"/>
        <v>5</v>
      </c>
      <c r="K86" s="41">
        <f t="shared" si="23"/>
        <v>5</v>
      </c>
      <c r="L86" s="44">
        <f aca="true" t="shared" si="48" ref="L86:L101">IF(ISERROR(CODE(L44)),"",IF(L44="A - D",2,CODE(L44)-64))</f>
      </c>
      <c r="M86" s="44">
        <f aca="true" t="shared" si="49" ref="M86:M101">IF(ISERROR(CODE(M44)),"",IF(M44="A - D",2,CODE(M44)-64))</f>
      </c>
      <c r="N86" s="41">
        <f t="shared" si="26"/>
        <v>2</v>
      </c>
      <c r="O86" s="41">
        <f t="shared" si="27"/>
        <v>5</v>
      </c>
      <c r="P86" s="44">
        <f aca="true" t="shared" si="50" ref="P86:P101">IF(ISERROR(CODE(P44)),"",IF(P44="A - D",2,CODE(P44)-64))</f>
      </c>
      <c r="Q86" s="44">
        <f aca="true" t="shared" si="51" ref="Q86:Q101">IF(ISERROR(CODE(Q44)),"",IF(Q44="A - D",2,CODE(Q44)-64))</f>
      </c>
      <c r="R86" s="41">
        <f t="shared" si="30"/>
        <v>5</v>
      </c>
      <c r="S86" s="44">
        <f aca="true" t="shared" si="52" ref="S86:Z86">IF(ISERROR(CODE(S44)),"",IF(S44="A - D",2,CODE(S44)-64))</f>
      </c>
      <c r="T86" s="44">
        <f t="shared" si="52"/>
      </c>
      <c r="U86" s="44">
        <f t="shared" si="52"/>
      </c>
      <c r="V86" s="44">
        <f t="shared" si="52"/>
      </c>
      <c r="W86" s="44">
        <f t="shared" si="52"/>
      </c>
      <c r="X86" s="44">
        <f t="shared" si="52"/>
      </c>
      <c r="Y86" s="44">
        <f t="shared" si="52"/>
      </c>
      <c r="Z86" s="44">
        <f t="shared" si="52"/>
      </c>
      <c r="AA86" s="44">
        <f aca="true" t="shared" si="53" ref="AA86:AB101">IF(ISERROR(CODE(AA44)),"",IF(AA44="A - D",2,CODE(AA44)-64))</f>
      </c>
      <c r="AB86" s="44">
        <f t="shared" si="53"/>
      </c>
      <c r="AC86" s="44">
        <f aca="true" t="shared" si="54" ref="AC86:AC101">IF(ISERROR(CODE(AC44)),"",IF(AC44="A - D",2,CODE(AC44)-64))</f>
      </c>
      <c r="AD86" s="44">
        <f aca="true" t="shared" si="55" ref="AD86:AE101">IF(ISERROR(CODE(AD44)),"",IF(AD44="A - D",2,CODE(AD44)-64))</f>
      </c>
      <c r="AE86" s="44">
        <f t="shared" si="55"/>
      </c>
      <c r="AF86" s="44">
        <f aca="true" t="shared" si="56" ref="AF86:AF101">IF(ISERROR(CODE(AF44)),"",IF(AF44="A - D",2,CODE(AF44)-64))</f>
      </c>
      <c r="AG86" s="39"/>
      <c r="AH86" s="39"/>
      <c r="AI86" s="39"/>
      <c r="AJ86" s="39"/>
      <c r="AK86" s="39"/>
    </row>
    <row r="87" spans="4:37" ht="12.75">
      <c r="D87" s="9" t="s">
        <v>29</v>
      </c>
      <c r="E87" s="25">
        <f t="shared" si="19"/>
        <v>0.026</v>
      </c>
      <c r="F87" s="44">
        <f t="shared" si="46"/>
      </c>
      <c r="G87" s="44">
        <f t="shared" si="47"/>
      </c>
      <c r="H87" s="41">
        <f aca="true" t="shared" si="57" ref="H87:I103">IF(ISERROR(CODE(H45)),"",IF(H45="A - D",2,IF(H45="D/E",4.5,CODE(H45)-64)))</f>
        <v>5</v>
      </c>
      <c r="I87" s="41">
        <f t="shared" si="57"/>
        <v>5</v>
      </c>
      <c r="J87" s="41">
        <f t="shared" si="22"/>
        <v>2</v>
      </c>
      <c r="K87" s="41">
        <f t="shared" si="23"/>
        <v>5</v>
      </c>
      <c r="L87" s="44">
        <f t="shared" si="48"/>
      </c>
      <c r="M87" s="44">
        <f t="shared" si="49"/>
      </c>
      <c r="N87" s="41">
        <f t="shared" si="26"/>
        <v>2</v>
      </c>
      <c r="O87" s="41">
        <f t="shared" si="27"/>
        <v>2</v>
      </c>
      <c r="P87" s="44">
        <f t="shared" si="50"/>
      </c>
      <c r="Q87" s="44">
        <f t="shared" si="51"/>
      </c>
      <c r="R87" s="41">
        <f t="shared" si="30"/>
        <v>5</v>
      </c>
      <c r="S87" s="44">
        <f aca="true" t="shared" si="58" ref="S87:V96">IF(ISERROR(CODE(S45)),"",IF(S45="A - D",2,CODE(S45)-64))</f>
      </c>
      <c r="T87" s="44">
        <f t="shared" si="58"/>
      </c>
      <c r="U87" s="44">
        <f t="shared" si="58"/>
      </c>
      <c r="V87" s="44">
        <f t="shared" si="58"/>
      </c>
      <c r="W87" s="44">
        <f aca="true" t="shared" si="59" ref="W87:Z96">IF(ISERROR(CODE(W45)),"",IF(W45="A - D",2,CODE(W45)-64))</f>
      </c>
      <c r="X87" s="44">
        <f t="shared" si="59"/>
      </c>
      <c r="Y87" s="44">
        <f t="shared" si="59"/>
      </c>
      <c r="Z87" s="44">
        <f t="shared" si="59"/>
      </c>
      <c r="AA87" s="44">
        <f t="shared" si="53"/>
      </c>
      <c r="AB87" s="44">
        <f t="shared" si="53"/>
      </c>
      <c r="AC87" s="44">
        <f t="shared" si="54"/>
      </c>
      <c r="AD87" s="44">
        <f t="shared" si="55"/>
      </c>
      <c r="AE87" s="44">
        <f t="shared" si="55"/>
      </c>
      <c r="AF87" s="44">
        <f t="shared" si="56"/>
      </c>
      <c r="AG87" s="39"/>
      <c r="AH87" s="39"/>
      <c r="AI87" s="39"/>
      <c r="AJ87" s="39"/>
      <c r="AK87" s="39"/>
    </row>
    <row r="88" spans="4:37" ht="12.75">
      <c r="D88" s="9" t="s">
        <v>30</v>
      </c>
      <c r="E88" s="25">
        <f t="shared" si="19"/>
        <v>0.026</v>
      </c>
      <c r="F88" s="44">
        <f t="shared" si="46"/>
      </c>
      <c r="G88" s="44">
        <f t="shared" si="47"/>
      </c>
      <c r="H88" s="41">
        <f t="shared" si="57"/>
        <v>5</v>
      </c>
      <c r="I88" s="41">
        <f t="shared" si="57"/>
        <v>5</v>
      </c>
      <c r="J88" s="41">
        <f t="shared" si="22"/>
        <v>2</v>
      </c>
      <c r="K88" s="41">
        <f t="shared" si="23"/>
        <v>2</v>
      </c>
      <c r="L88" s="44">
        <f t="shared" si="48"/>
      </c>
      <c r="M88" s="44">
        <f t="shared" si="49"/>
      </c>
      <c r="N88" s="41">
        <f t="shared" si="26"/>
        <v>2</v>
      </c>
      <c r="O88" s="41">
        <f t="shared" si="27"/>
        <v>2</v>
      </c>
      <c r="P88" s="44">
        <f t="shared" si="50"/>
      </c>
      <c r="Q88" s="44">
        <f t="shared" si="51"/>
      </c>
      <c r="R88" s="41">
        <f t="shared" si="30"/>
        <v>5</v>
      </c>
      <c r="S88" s="44">
        <f t="shared" si="58"/>
      </c>
      <c r="T88" s="44">
        <f t="shared" si="58"/>
      </c>
      <c r="U88" s="44">
        <f t="shared" si="58"/>
      </c>
      <c r="V88" s="44">
        <f t="shared" si="58"/>
      </c>
      <c r="W88" s="44">
        <f t="shared" si="59"/>
      </c>
      <c r="X88" s="44">
        <f t="shared" si="59"/>
      </c>
      <c r="Y88" s="44">
        <f t="shared" si="59"/>
      </c>
      <c r="Z88" s="44">
        <f t="shared" si="59"/>
      </c>
      <c r="AA88" s="44">
        <f t="shared" si="53"/>
      </c>
      <c r="AB88" s="44">
        <f t="shared" si="53"/>
      </c>
      <c r="AC88" s="44">
        <f t="shared" si="54"/>
      </c>
      <c r="AD88" s="44">
        <f t="shared" si="55"/>
      </c>
      <c r="AE88" s="44">
        <f t="shared" si="55"/>
      </c>
      <c r="AF88" s="44">
        <f t="shared" si="56"/>
      </c>
      <c r="AG88" s="39"/>
      <c r="AH88" s="39"/>
      <c r="AI88" s="39"/>
      <c r="AJ88" s="39"/>
      <c r="AK88" s="39"/>
    </row>
    <row r="89" spans="4:37" ht="12.75">
      <c r="D89" s="10" t="s">
        <v>31</v>
      </c>
      <c r="E89" s="25">
        <f t="shared" si="19"/>
        <v>0.078</v>
      </c>
      <c r="F89" s="44">
        <f t="shared" si="46"/>
      </c>
      <c r="G89" s="44">
        <f t="shared" si="47"/>
      </c>
      <c r="H89" s="41">
        <f t="shared" si="57"/>
        <v>2</v>
      </c>
      <c r="I89" s="41">
        <f t="shared" si="57"/>
        <v>5</v>
      </c>
      <c r="J89" s="41">
        <f t="shared" si="22"/>
        <v>2</v>
      </c>
      <c r="K89" s="41">
        <f t="shared" si="23"/>
        <v>2</v>
      </c>
      <c r="L89" s="44">
        <f t="shared" si="48"/>
      </c>
      <c r="M89" s="44">
        <f t="shared" si="49"/>
      </c>
      <c r="N89" s="41">
        <f t="shared" si="26"/>
        <v>2</v>
      </c>
      <c r="O89" s="41">
        <f t="shared" si="27"/>
        <v>2</v>
      </c>
      <c r="P89" s="44">
        <f t="shared" si="50"/>
      </c>
      <c r="Q89" s="44">
        <f t="shared" si="51"/>
      </c>
      <c r="R89" s="41">
        <f t="shared" si="30"/>
        <v>5</v>
      </c>
      <c r="S89" s="44">
        <f t="shared" si="58"/>
      </c>
      <c r="T89" s="44">
        <f t="shared" si="58"/>
      </c>
      <c r="U89" s="44">
        <f t="shared" si="58"/>
      </c>
      <c r="V89" s="44">
        <f t="shared" si="58"/>
      </c>
      <c r="W89" s="44">
        <f t="shared" si="59"/>
      </c>
      <c r="X89" s="44">
        <f t="shared" si="59"/>
      </c>
      <c r="Y89" s="44">
        <f t="shared" si="59"/>
      </c>
      <c r="Z89" s="44">
        <f t="shared" si="59"/>
      </c>
      <c r="AA89" s="44">
        <f t="shared" si="53"/>
      </c>
      <c r="AB89" s="44">
        <f t="shared" si="53"/>
      </c>
      <c r="AC89" s="44">
        <f t="shared" si="54"/>
      </c>
      <c r="AD89" s="44">
        <f t="shared" si="55"/>
      </c>
      <c r="AE89" s="44">
        <f t="shared" si="55"/>
      </c>
      <c r="AF89" s="44">
        <f t="shared" si="56"/>
      </c>
      <c r="AG89" s="39"/>
      <c r="AH89" s="39"/>
      <c r="AI89" s="39"/>
      <c r="AJ89" s="39"/>
      <c r="AK89" s="39"/>
    </row>
    <row r="90" spans="4:37" ht="12.75">
      <c r="D90" s="9" t="s">
        <v>32</v>
      </c>
      <c r="E90" s="25">
        <f t="shared" si="19"/>
        <v>0.026</v>
      </c>
      <c r="F90" s="44">
        <f t="shared" si="46"/>
      </c>
      <c r="G90" s="44">
        <f t="shared" si="47"/>
      </c>
      <c r="H90" s="41">
        <f t="shared" si="57"/>
        <v>2</v>
      </c>
      <c r="I90" s="41">
        <f t="shared" si="57"/>
        <v>2</v>
      </c>
      <c r="J90" s="41">
        <f t="shared" si="22"/>
        <v>2</v>
      </c>
      <c r="K90" s="41">
        <f t="shared" si="23"/>
        <v>2</v>
      </c>
      <c r="L90" s="44">
        <f t="shared" si="48"/>
      </c>
      <c r="M90" s="44">
        <f t="shared" si="49"/>
      </c>
      <c r="N90" s="41">
        <f t="shared" si="26"/>
        <v>2</v>
      </c>
      <c r="O90" s="41">
        <f t="shared" si="27"/>
        <v>5</v>
      </c>
      <c r="P90" s="44">
        <f t="shared" si="50"/>
      </c>
      <c r="Q90" s="44">
        <f t="shared" si="51"/>
      </c>
      <c r="R90" s="41">
        <f t="shared" si="30"/>
        <v>5</v>
      </c>
      <c r="S90" s="44">
        <f t="shared" si="58"/>
      </c>
      <c r="T90" s="44">
        <f t="shared" si="58"/>
      </c>
      <c r="U90" s="44">
        <f t="shared" si="58"/>
      </c>
      <c r="V90" s="44">
        <f t="shared" si="58"/>
      </c>
      <c r="W90" s="44">
        <f t="shared" si="59"/>
      </c>
      <c r="X90" s="44">
        <f t="shared" si="59"/>
      </c>
      <c r="Y90" s="44">
        <f t="shared" si="59"/>
      </c>
      <c r="Z90" s="44">
        <f t="shared" si="59"/>
      </c>
      <c r="AA90" s="44">
        <f t="shared" si="53"/>
      </c>
      <c r="AB90" s="44">
        <f t="shared" si="53"/>
      </c>
      <c r="AC90" s="44">
        <f t="shared" si="54"/>
      </c>
      <c r="AD90" s="44">
        <f t="shared" si="55"/>
      </c>
      <c r="AE90" s="44">
        <f t="shared" si="55"/>
      </c>
      <c r="AF90" s="44">
        <f t="shared" si="56"/>
      </c>
      <c r="AG90" s="39"/>
      <c r="AH90" s="39"/>
      <c r="AI90" s="39"/>
      <c r="AJ90" s="39"/>
      <c r="AK90" s="39"/>
    </row>
    <row r="91" spans="4:37" ht="12.75">
      <c r="D91" s="9" t="s">
        <v>33</v>
      </c>
      <c r="E91" s="25">
        <f t="shared" si="19"/>
        <v>0.026</v>
      </c>
      <c r="F91" s="44">
        <f t="shared" si="46"/>
      </c>
      <c r="G91" s="44">
        <f t="shared" si="47"/>
      </c>
      <c r="H91" s="41">
        <f t="shared" si="57"/>
        <v>2</v>
      </c>
      <c r="I91" s="41">
        <f t="shared" si="57"/>
        <v>2</v>
      </c>
      <c r="J91" s="41">
        <f t="shared" si="22"/>
        <v>2</v>
      </c>
      <c r="K91" s="41">
        <f t="shared" si="23"/>
        <v>2</v>
      </c>
      <c r="L91" s="44">
        <f t="shared" si="48"/>
      </c>
      <c r="M91" s="44">
        <f t="shared" si="49"/>
      </c>
      <c r="N91" s="41">
        <f t="shared" si="26"/>
        <v>2</v>
      </c>
      <c r="O91" s="41">
        <f t="shared" si="27"/>
        <v>5</v>
      </c>
      <c r="P91" s="44">
        <f t="shared" si="50"/>
      </c>
      <c r="Q91" s="44">
        <f t="shared" si="51"/>
      </c>
      <c r="R91" s="41">
        <f t="shared" si="30"/>
        <v>5</v>
      </c>
      <c r="S91" s="44">
        <f t="shared" si="58"/>
      </c>
      <c r="T91" s="44">
        <f t="shared" si="58"/>
      </c>
      <c r="U91" s="44">
        <f t="shared" si="58"/>
      </c>
      <c r="V91" s="44">
        <f t="shared" si="58"/>
      </c>
      <c r="W91" s="44">
        <f t="shared" si="59"/>
      </c>
      <c r="X91" s="44">
        <f t="shared" si="59"/>
      </c>
      <c r="Y91" s="44">
        <f t="shared" si="59"/>
      </c>
      <c r="Z91" s="44">
        <f t="shared" si="59"/>
      </c>
      <c r="AA91" s="44">
        <f t="shared" si="53"/>
      </c>
      <c r="AB91" s="44">
        <f t="shared" si="53"/>
      </c>
      <c r="AC91" s="44">
        <f t="shared" si="54"/>
      </c>
      <c r="AD91" s="44">
        <f t="shared" si="55"/>
      </c>
      <c r="AE91" s="44">
        <f t="shared" si="55"/>
      </c>
      <c r="AF91" s="44">
        <f t="shared" si="56"/>
      </c>
      <c r="AG91" s="39"/>
      <c r="AH91" s="39"/>
      <c r="AI91" s="39"/>
      <c r="AJ91" s="39"/>
      <c r="AK91" s="39"/>
    </row>
    <row r="92" spans="4:34" ht="12.75">
      <c r="D92" s="9" t="s">
        <v>34</v>
      </c>
      <c r="E92" s="25">
        <f t="shared" si="19"/>
        <v>0.026</v>
      </c>
      <c r="F92" s="44">
        <f t="shared" si="46"/>
      </c>
      <c r="G92" s="44">
        <f t="shared" si="47"/>
      </c>
      <c r="H92" s="41">
        <f t="shared" si="57"/>
        <v>2</v>
      </c>
      <c r="I92" s="41">
        <f t="shared" si="57"/>
        <v>2</v>
      </c>
      <c r="J92" s="41">
        <f t="shared" si="22"/>
        <v>2</v>
      </c>
      <c r="K92" s="41">
        <f t="shared" si="23"/>
        <v>2</v>
      </c>
      <c r="L92" s="44">
        <f t="shared" si="48"/>
      </c>
      <c r="M92" s="44">
        <f t="shared" si="49"/>
      </c>
      <c r="N92" s="41">
        <f t="shared" si="26"/>
        <v>2</v>
      </c>
      <c r="O92" s="41">
        <f t="shared" si="27"/>
        <v>2</v>
      </c>
      <c r="P92" s="44">
        <f t="shared" si="50"/>
      </c>
      <c r="Q92" s="44">
        <f t="shared" si="51"/>
      </c>
      <c r="R92" s="41">
        <f t="shared" si="30"/>
        <v>5</v>
      </c>
      <c r="S92" s="44">
        <f t="shared" si="58"/>
      </c>
      <c r="T92" s="44">
        <f t="shared" si="58"/>
      </c>
      <c r="U92" s="44">
        <f t="shared" si="58"/>
      </c>
      <c r="V92" s="44">
        <f t="shared" si="58"/>
      </c>
      <c r="W92" s="44">
        <f t="shared" si="59"/>
      </c>
      <c r="X92" s="44">
        <f t="shared" si="59"/>
      </c>
      <c r="Y92" s="44">
        <f t="shared" si="59"/>
      </c>
      <c r="Z92" s="44">
        <f t="shared" si="59"/>
      </c>
      <c r="AA92" s="44">
        <f t="shared" si="53"/>
      </c>
      <c r="AB92" s="44">
        <f t="shared" si="53"/>
      </c>
      <c r="AC92" s="44">
        <f t="shared" si="54"/>
      </c>
      <c r="AD92" s="44">
        <f t="shared" si="55"/>
      </c>
      <c r="AE92" s="44">
        <f t="shared" si="55"/>
      </c>
      <c r="AF92" s="44">
        <f t="shared" si="56"/>
      </c>
      <c r="AG92" s="39"/>
      <c r="AH92" s="39"/>
    </row>
    <row r="93" spans="4:34" ht="12.75">
      <c r="D93" s="9" t="s">
        <v>35</v>
      </c>
      <c r="E93" s="25">
        <f t="shared" si="19"/>
        <v>0.026</v>
      </c>
      <c r="F93" s="44">
        <f t="shared" si="46"/>
      </c>
      <c r="G93" s="44">
        <f t="shared" si="47"/>
      </c>
      <c r="H93" s="41">
        <f t="shared" si="57"/>
        <v>2</v>
      </c>
      <c r="I93" s="41">
        <f t="shared" si="57"/>
        <v>2</v>
      </c>
      <c r="J93" s="41">
        <f t="shared" si="22"/>
        <v>2</v>
      </c>
      <c r="K93" s="41">
        <f t="shared" si="23"/>
        <v>2</v>
      </c>
      <c r="L93" s="44">
        <f t="shared" si="48"/>
      </c>
      <c r="M93" s="44">
        <f t="shared" si="49"/>
      </c>
      <c r="N93" s="41">
        <f t="shared" si="26"/>
        <v>2</v>
      </c>
      <c r="O93" s="41">
        <f t="shared" si="27"/>
        <v>5</v>
      </c>
      <c r="P93" s="44">
        <f t="shared" si="50"/>
      </c>
      <c r="Q93" s="44">
        <f t="shared" si="51"/>
      </c>
      <c r="R93" s="41">
        <f t="shared" si="30"/>
        <v>5</v>
      </c>
      <c r="S93" s="44">
        <f t="shared" si="58"/>
      </c>
      <c r="T93" s="44">
        <f t="shared" si="58"/>
      </c>
      <c r="U93" s="44">
        <f t="shared" si="58"/>
      </c>
      <c r="V93" s="44">
        <f t="shared" si="58"/>
      </c>
      <c r="W93" s="44">
        <f t="shared" si="59"/>
      </c>
      <c r="X93" s="44">
        <f t="shared" si="59"/>
      </c>
      <c r="Y93" s="44">
        <f t="shared" si="59"/>
      </c>
      <c r="Z93" s="44">
        <f t="shared" si="59"/>
      </c>
      <c r="AA93" s="44">
        <f t="shared" si="53"/>
      </c>
      <c r="AB93" s="44">
        <f t="shared" si="53"/>
      </c>
      <c r="AC93" s="44">
        <f t="shared" si="54"/>
      </c>
      <c r="AD93" s="44">
        <f t="shared" si="55"/>
      </c>
      <c r="AE93" s="44">
        <f t="shared" si="55"/>
      </c>
      <c r="AF93" s="44">
        <f t="shared" si="56"/>
      </c>
      <c r="AG93" s="39"/>
      <c r="AH93" s="39"/>
    </row>
    <row r="94" spans="4:34" ht="12.75">
      <c r="D94" s="9" t="s">
        <v>36</v>
      </c>
      <c r="E94" s="25">
        <f t="shared" si="19"/>
        <v>0.026</v>
      </c>
      <c r="F94" s="44">
        <f t="shared" si="46"/>
      </c>
      <c r="G94" s="44">
        <f t="shared" si="47"/>
      </c>
      <c r="H94" s="41">
        <f t="shared" si="57"/>
        <v>2</v>
      </c>
      <c r="I94" s="41">
        <f t="shared" si="57"/>
        <v>2</v>
      </c>
      <c r="J94" s="41">
        <f t="shared" si="22"/>
        <v>2</v>
      </c>
      <c r="K94" s="41">
        <f t="shared" si="23"/>
        <v>2</v>
      </c>
      <c r="L94" s="44">
        <f t="shared" si="48"/>
      </c>
      <c r="M94" s="44">
        <f t="shared" si="49"/>
      </c>
      <c r="N94" s="41">
        <f t="shared" si="26"/>
        <v>2</v>
      </c>
      <c r="O94" s="41">
        <f t="shared" si="27"/>
        <v>2</v>
      </c>
      <c r="P94" s="44">
        <f t="shared" si="50"/>
      </c>
      <c r="Q94" s="44">
        <f t="shared" si="51"/>
      </c>
      <c r="R94" s="41">
        <f t="shared" si="30"/>
        <v>5</v>
      </c>
      <c r="S94" s="44">
        <f t="shared" si="58"/>
      </c>
      <c r="T94" s="44">
        <f t="shared" si="58"/>
      </c>
      <c r="U94" s="44">
        <f t="shared" si="58"/>
      </c>
      <c r="V94" s="44">
        <f t="shared" si="58"/>
      </c>
      <c r="W94" s="44">
        <f t="shared" si="59"/>
      </c>
      <c r="X94" s="44">
        <f t="shared" si="59"/>
      </c>
      <c r="Y94" s="44">
        <f t="shared" si="59"/>
      </c>
      <c r="Z94" s="44">
        <f t="shared" si="59"/>
      </c>
      <c r="AA94" s="44">
        <f t="shared" si="53"/>
      </c>
      <c r="AB94" s="44">
        <f t="shared" si="53"/>
      </c>
      <c r="AC94" s="44">
        <f t="shared" si="54"/>
      </c>
      <c r="AD94" s="44">
        <f t="shared" si="55"/>
      </c>
      <c r="AE94" s="44">
        <f t="shared" si="55"/>
      </c>
      <c r="AF94" s="44">
        <f t="shared" si="56"/>
      </c>
      <c r="AG94" s="39"/>
      <c r="AH94" s="39"/>
    </row>
    <row r="95" spans="4:34" ht="12.75">
      <c r="D95" s="9" t="s">
        <v>37</v>
      </c>
      <c r="E95" s="25">
        <f t="shared" si="19"/>
        <v>0.026</v>
      </c>
      <c r="F95" s="44">
        <f t="shared" si="46"/>
      </c>
      <c r="G95" s="44">
        <f t="shared" si="47"/>
      </c>
      <c r="H95" s="41">
        <f t="shared" si="57"/>
        <v>2</v>
      </c>
      <c r="I95" s="41">
        <f t="shared" si="57"/>
        <v>2</v>
      </c>
      <c r="J95" s="41">
        <f t="shared" si="22"/>
        <v>2</v>
      </c>
      <c r="K95" s="41">
        <f t="shared" si="23"/>
        <v>2</v>
      </c>
      <c r="L95" s="44">
        <f t="shared" si="48"/>
      </c>
      <c r="M95" s="44">
        <f t="shared" si="49"/>
      </c>
      <c r="N95" s="41">
        <f t="shared" si="26"/>
        <v>2</v>
      </c>
      <c r="O95" s="41">
        <f t="shared" si="27"/>
        <v>2</v>
      </c>
      <c r="P95" s="44">
        <f t="shared" si="50"/>
      </c>
      <c r="Q95" s="44">
        <f t="shared" si="51"/>
      </c>
      <c r="R95" s="41">
        <f t="shared" si="30"/>
        <v>5</v>
      </c>
      <c r="S95" s="44">
        <f t="shared" si="58"/>
      </c>
      <c r="T95" s="44">
        <f t="shared" si="58"/>
      </c>
      <c r="U95" s="44">
        <f t="shared" si="58"/>
      </c>
      <c r="V95" s="44">
        <f t="shared" si="58"/>
      </c>
      <c r="W95" s="44">
        <f t="shared" si="59"/>
      </c>
      <c r="X95" s="44">
        <f t="shared" si="59"/>
      </c>
      <c r="Y95" s="44">
        <f t="shared" si="59"/>
      </c>
      <c r="Z95" s="44">
        <f t="shared" si="59"/>
      </c>
      <c r="AA95" s="44">
        <f t="shared" si="53"/>
      </c>
      <c r="AB95" s="44">
        <f t="shared" si="53"/>
      </c>
      <c r="AC95" s="44">
        <f t="shared" si="54"/>
      </c>
      <c r="AD95" s="44">
        <f t="shared" si="55"/>
      </c>
      <c r="AE95" s="44">
        <f t="shared" si="55"/>
      </c>
      <c r="AF95" s="44">
        <f t="shared" si="56"/>
      </c>
      <c r="AG95" s="39"/>
      <c r="AH95" s="39"/>
    </row>
    <row r="96" spans="4:34" ht="12.75">
      <c r="D96" s="9" t="s">
        <v>38</v>
      </c>
      <c r="E96" s="25">
        <f t="shared" si="19"/>
        <v>0.026</v>
      </c>
      <c r="F96" s="44">
        <f t="shared" si="46"/>
      </c>
      <c r="G96" s="44">
        <f t="shared" si="47"/>
      </c>
      <c r="H96" s="41">
        <f t="shared" si="57"/>
        <v>2</v>
      </c>
      <c r="I96" s="41">
        <f t="shared" si="57"/>
        <v>2</v>
      </c>
      <c r="J96" s="41">
        <f t="shared" si="22"/>
        <v>2</v>
      </c>
      <c r="K96" s="41">
        <f t="shared" si="23"/>
        <v>2</v>
      </c>
      <c r="L96" s="44">
        <f t="shared" si="48"/>
      </c>
      <c r="M96" s="44">
        <f t="shared" si="49"/>
      </c>
      <c r="N96" s="41">
        <f t="shared" si="26"/>
        <v>2</v>
      </c>
      <c r="O96" s="41">
        <f t="shared" si="27"/>
        <v>5</v>
      </c>
      <c r="P96" s="44">
        <f t="shared" si="50"/>
      </c>
      <c r="Q96" s="44">
        <f t="shared" si="51"/>
      </c>
      <c r="R96" s="41">
        <f t="shared" si="30"/>
        <v>5</v>
      </c>
      <c r="S96" s="44">
        <f t="shared" si="58"/>
      </c>
      <c r="T96" s="44">
        <f t="shared" si="58"/>
      </c>
      <c r="U96" s="44">
        <f t="shared" si="58"/>
      </c>
      <c r="V96" s="44">
        <f t="shared" si="58"/>
      </c>
      <c r="W96" s="44">
        <f t="shared" si="59"/>
      </c>
      <c r="X96" s="44">
        <f t="shared" si="59"/>
      </c>
      <c r="Y96" s="44">
        <f t="shared" si="59"/>
      </c>
      <c r="Z96" s="44">
        <f t="shared" si="59"/>
      </c>
      <c r="AA96" s="44">
        <f t="shared" si="53"/>
      </c>
      <c r="AB96" s="44">
        <f t="shared" si="53"/>
      </c>
      <c r="AC96" s="44">
        <f t="shared" si="54"/>
      </c>
      <c r="AD96" s="44">
        <f t="shared" si="55"/>
      </c>
      <c r="AE96" s="44">
        <f t="shared" si="55"/>
      </c>
      <c r="AF96" s="44">
        <f t="shared" si="56"/>
      </c>
      <c r="AG96" s="39"/>
      <c r="AH96" s="39"/>
    </row>
    <row r="97" spans="4:34" ht="12.75">
      <c r="D97" s="9" t="s">
        <v>39</v>
      </c>
      <c r="E97" s="25">
        <f t="shared" si="19"/>
        <v>0.026</v>
      </c>
      <c r="F97" s="44">
        <f t="shared" si="46"/>
      </c>
      <c r="G97" s="44">
        <f t="shared" si="47"/>
      </c>
      <c r="H97" s="41">
        <f t="shared" si="57"/>
        <v>5</v>
      </c>
      <c r="I97" s="41">
        <f t="shared" si="57"/>
        <v>2</v>
      </c>
      <c r="J97" s="41">
        <f t="shared" si="22"/>
        <v>2</v>
      </c>
      <c r="K97" s="41">
        <f t="shared" si="23"/>
        <v>2</v>
      </c>
      <c r="L97" s="44">
        <f t="shared" si="48"/>
      </c>
      <c r="M97" s="44">
        <f t="shared" si="49"/>
      </c>
      <c r="N97" s="41">
        <f t="shared" si="26"/>
        <v>2</v>
      </c>
      <c r="O97" s="41">
        <f t="shared" si="27"/>
        <v>2</v>
      </c>
      <c r="P97" s="44">
        <f t="shared" si="50"/>
      </c>
      <c r="Q97" s="44">
        <f t="shared" si="51"/>
      </c>
      <c r="R97" s="41">
        <f t="shared" si="30"/>
        <v>5</v>
      </c>
      <c r="S97" s="44">
        <f aca="true" t="shared" si="60" ref="S97:V101">IF(ISERROR(CODE(S55)),"",IF(S55="A - D",2,CODE(S55)-64))</f>
      </c>
      <c r="T97" s="44">
        <f t="shared" si="60"/>
      </c>
      <c r="U97" s="44">
        <f t="shared" si="60"/>
      </c>
      <c r="V97" s="44">
        <f t="shared" si="60"/>
      </c>
      <c r="W97" s="44">
        <f aca="true" t="shared" si="61" ref="W97:Z101">IF(ISERROR(CODE(W55)),"",IF(W55="A - D",2,CODE(W55)-64))</f>
      </c>
      <c r="X97" s="44">
        <f t="shared" si="61"/>
      </c>
      <c r="Y97" s="44">
        <f t="shared" si="61"/>
      </c>
      <c r="Z97" s="44">
        <f t="shared" si="61"/>
      </c>
      <c r="AA97" s="44">
        <f t="shared" si="53"/>
      </c>
      <c r="AB97" s="44">
        <f t="shared" si="53"/>
      </c>
      <c r="AC97" s="44">
        <f t="shared" si="54"/>
      </c>
      <c r="AD97" s="44">
        <f t="shared" si="55"/>
      </c>
      <c r="AE97" s="44">
        <f t="shared" si="55"/>
      </c>
      <c r="AF97" s="44">
        <f t="shared" si="56"/>
      </c>
      <c r="AG97" s="39"/>
      <c r="AH97" s="39"/>
    </row>
    <row r="98" spans="4:34" ht="12.75">
      <c r="D98" s="9" t="s">
        <v>40</v>
      </c>
      <c r="E98" s="25">
        <f t="shared" si="19"/>
        <v>0.026</v>
      </c>
      <c r="F98" s="44">
        <f t="shared" si="46"/>
      </c>
      <c r="G98" s="44">
        <f t="shared" si="47"/>
      </c>
      <c r="H98" s="41">
        <f t="shared" si="57"/>
      </c>
      <c r="I98" s="41">
        <f t="shared" si="57"/>
      </c>
      <c r="J98" s="41">
        <f t="shared" si="22"/>
      </c>
      <c r="K98" s="41">
        <f t="shared" si="23"/>
      </c>
      <c r="L98" s="44">
        <f t="shared" si="48"/>
      </c>
      <c r="M98" s="44">
        <f t="shared" si="49"/>
      </c>
      <c r="N98" s="41">
        <f t="shared" si="26"/>
      </c>
      <c r="O98" s="41">
        <f t="shared" si="27"/>
      </c>
      <c r="P98" s="44">
        <f t="shared" si="50"/>
      </c>
      <c r="Q98" s="44">
        <f t="shared" si="51"/>
      </c>
      <c r="R98" s="41">
        <f t="shared" si="30"/>
      </c>
      <c r="S98" s="44">
        <f t="shared" si="60"/>
      </c>
      <c r="T98" s="44">
        <f t="shared" si="60"/>
      </c>
      <c r="U98" s="44">
        <f t="shared" si="60"/>
      </c>
      <c r="V98" s="44">
        <f t="shared" si="60"/>
      </c>
      <c r="W98" s="44">
        <f t="shared" si="61"/>
      </c>
      <c r="X98" s="44">
        <f t="shared" si="61"/>
      </c>
      <c r="Y98" s="44">
        <f t="shared" si="61"/>
      </c>
      <c r="Z98" s="44">
        <f t="shared" si="61"/>
      </c>
      <c r="AA98" s="44">
        <f t="shared" si="53"/>
      </c>
      <c r="AB98" s="44">
        <f t="shared" si="53"/>
      </c>
      <c r="AC98" s="44">
        <f t="shared" si="54"/>
      </c>
      <c r="AD98" s="44">
        <f t="shared" si="55"/>
      </c>
      <c r="AE98" s="44">
        <f t="shared" si="55"/>
      </c>
      <c r="AF98" s="44">
        <f t="shared" si="56"/>
      </c>
      <c r="AG98" s="39"/>
      <c r="AH98" s="39"/>
    </row>
    <row r="99" spans="4:34" ht="12.75">
      <c r="D99" s="9" t="s">
        <v>41</v>
      </c>
      <c r="E99" s="25">
        <f t="shared" si="19"/>
        <v>0.026</v>
      </c>
      <c r="F99" s="44">
        <f t="shared" si="46"/>
      </c>
      <c r="G99" s="44">
        <f t="shared" si="47"/>
      </c>
      <c r="H99" s="41">
        <f t="shared" si="57"/>
        <v>5</v>
      </c>
      <c r="I99" s="41">
        <f t="shared" si="57"/>
        <v>5</v>
      </c>
      <c r="J99" s="41">
        <f t="shared" si="22"/>
        <v>5</v>
      </c>
      <c r="K99" s="41">
        <f t="shared" si="23"/>
        <v>5</v>
      </c>
      <c r="L99" s="44">
        <f t="shared" si="48"/>
      </c>
      <c r="M99" s="44">
        <f t="shared" si="49"/>
      </c>
      <c r="N99" s="41">
        <f t="shared" si="26"/>
        <v>2</v>
      </c>
      <c r="O99" s="41">
        <f t="shared" si="27"/>
        <v>5</v>
      </c>
      <c r="P99" s="44">
        <f t="shared" si="50"/>
      </c>
      <c r="Q99" s="44">
        <f t="shared" si="51"/>
      </c>
      <c r="R99" s="41">
        <f t="shared" si="30"/>
        <v>5</v>
      </c>
      <c r="S99" s="44">
        <f t="shared" si="60"/>
      </c>
      <c r="T99" s="44">
        <f t="shared" si="60"/>
      </c>
      <c r="U99" s="44">
        <f t="shared" si="60"/>
      </c>
      <c r="V99" s="44">
        <f t="shared" si="60"/>
      </c>
      <c r="W99" s="44">
        <f t="shared" si="61"/>
      </c>
      <c r="X99" s="44">
        <f t="shared" si="61"/>
      </c>
      <c r="Y99" s="44">
        <f t="shared" si="61"/>
      </c>
      <c r="Z99" s="44">
        <f t="shared" si="61"/>
      </c>
      <c r="AA99" s="44">
        <f t="shared" si="53"/>
      </c>
      <c r="AB99" s="44">
        <f t="shared" si="53"/>
      </c>
      <c r="AC99" s="44">
        <f t="shared" si="54"/>
      </c>
      <c r="AD99" s="44">
        <f t="shared" si="55"/>
      </c>
      <c r="AE99" s="44">
        <f t="shared" si="55"/>
      </c>
      <c r="AF99" s="44">
        <f t="shared" si="56"/>
      </c>
      <c r="AG99" s="39"/>
      <c r="AH99" s="39"/>
    </row>
    <row r="100" spans="4:34" ht="12.75">
      <c r="D100" s="10" t="s">
        <v>42</v>
      </c>
      <c r="E100" s="25">
        <f t="shared" si="19"/>
        <v>0.26</v>
      </c>
      <c r="F100" s="44">
        <f t="shared" si="46"/>
      </c>
      <c r="G100" s="44">
        <f t="shared" si="47"/>
      </c>
      <c r="H100" s="41">
        <f t="shared" si="57"/>
        <v>5</v>
      </c>
      <c r="I100" s="41">
        <f t="shared" si="57"/>
        <v>5</v>
      </c>
      <c r="J100" s="41">
        <f t="shared" si="22"/>
        <v>2</v>
      </c>
      <c r="K100" s="41">
        <f t="shared" si="23"/>
        <v>5</v>
      </c>
      <c r="L100" s="44">
        <f t="shared" si="48"/>
      </c>
      <c r="M100" s="44">
        <f t="shared" si="49"/>
      </c>
      <c r="N100" s="41">
        <f t="shared" si="26"/>
        <v>2</v>
      </c>
      <c r="O100" s="41">
        <f t="shared" si="27"/>
        <v>5</v>
      </c>
      <c r="P100" s="44">
        <f t="shared" si="50"/>
      </c>
      <c r="Q100" s="44">
        <f t="shared" si="51"/>
      </c>
      <c r="R100" s="41">
        <f t="shared" si="30"/>
        <v>5</v>
      </c>
      <c r="S100" s="44">
        <f t="shared" si="60"/>
      </c>
      <c r="T100" s="44">
        <f t="shared" si="60"/>
      </c>
      <c r="U100" s="44">
        <f t="shared" si="60"/>
      </c>
      <c r="V100" s="44">
        <f t="shared" si="60"/>
      </c>
      <c r="W100" s="44">
        <f t="shared" si="61"/>
      </c>
      <c r="X100" s="44">
        <f t="shared" si="61"/>
      </c>
      <c r="Y100" s="44">
        <f t="shared" si="61"/>
      </c>
      <c r="Z100" s="44">
        <f t="shared" si="61"/>
      </c>
      <c r="AA100" s="44">
        <f t="shared" si="53"/>
      </c>
      <c r="AB100" s="44">
        <f t="shared" si="53"/>
      </c>
      <c r="AC100" s="44">
        <f t="shared" si="54"/>
      </c>
      <c r="AD100" s="44">
        <f t="shared" si="55"/>
      </c>
      <c r="AE100" s="44">
        <f t="shared" si="55"/>
      </c>
      <c r="AF100" s="44">
        <f t="shared" si="56"/>
      </c>
      <c r="AG100" s="39"/>
      <c r="AH100" s="39"/>
    </row>
    <row r="101" spans="4:34" ht="12.75">
      <c r="D101" s="11" t="s">
        <v>43</v>
      </c>
      <c r="E101" s="25">
        <f t="shared" si="19"/>
        <v>0.338</v>
      </c>
      <c r="F101" s="44">
        <f t="shared" si="46"/>
      </c>
      <c r="G101" s="44">
        <f t="shared" si="47"/>
      </c>
      <c r="H101" s="41">
        <f t="shared" si="57"/>
        <v>2</v>
      </c>
      <c r="I101" s="41">
        <f t="shared" si="57"/>
        <v>2</v>
      </c>
      <c r="J101" s="41">
        <f t="shared" si="22"/>
        <v>2</v>
      </c>
      <c r="K101" s="41">
        <f t="shared" si="23"/>
        <v>2</v>
      </c>
      <c r="L101" s="44">
        <f t="shared" si="48"/>
      </c>
      <c r="M101" s="44">
        <f t="shared" si="49"/>
      </c>
      <c r="N101" s="41">
        <f t="shared" si="26"/>
        <v>2</v>
      </c>
      <c r="O101" s="41">
        <f t="shared" si="27"/>
        <v>5</v>
      </c>
      <c r="P101" s="44">
        <f t="shared" si="50"/>
      </c>
      <c r="Q101" s="44">
        <f t="shared" si="51"/>
      </c>
      <c r="R101" s="41">
        <f t="shared" si="30"/>
        <v>5</v>
      </c>
      <c r="S101" s="44">
        <f t="shared" si="60"/>
      </c>
      <c r="T101" s="44">
        <f t="shared" si="60"/>
      </c>
      <c r="U101" s="44">
        <f t="shared" si="60"/>
      </c>
      <c r="V101" s="44">
        <f t="shared" si="60"/>
      </c>
      <c r="W101" s="44">
        <f t="shared" si="61"/>
      </c>
      <c r="X101" s="44">
        <f t="shared" si="61"/>
      </c>
      <c r="Y101" s="44">
        <f t="shared" si="61"/>
      </c>
      <c r="Z101" s="44">
        <f t="shared" si="61"/>
      </c>
      <c r="AA101" s="44">
        <f t="shared" si="53"/>
      </c>
      <c r="AB101" s="44">
        <f t="shared" si="53"/>
      </c>
      <c r="AC101" s="44">
        <f t="shared" si="54"/>
      </c>
      <c r="AD101" s="44">
        <f t="shared" si="55"/>
      </c>
      <c r="AE101" s="44">
        <f t="shared" si="55"/>
      </c>
      <c r="AF101" s="44">
        <f t="shared" si="56"/>
      </c>
      <c r="AG101" s="39"/>
      <c r="AH101" s="39"/>
    </row>
    <row r="102" spans="4:34" ht="12.75">
      <c r="D102" s="9" t="s">
        <v>44</v>
      </c>
      <c r="E102" s="9"/>
      <c r="F102" s="40"/>
      <c r="G102" s="40"/>
      <c r="H102" s="41">
        <f t="shared" si="57"/>
      </c>
      <c r="I102" s="41">
        <f t="shared" si="57"/>
      </c>
      <c r="J102" s="41">
        <f t="shared" si="22"/>
      </c>
      <c r="K102" s="41">
        <f t="shared" si="23"/>
      </c>
      <c r="L102" s="40"/>
      <c r="M102" s="40"/>
      <c r="N102" s="41">
        <f t="shared" si="26"/>
      </c>
      <c r="O102" s="41">
        <f t="shared" si="27"/>
      </c>
      <c r="P102" s="40"/>
      <c r="Q102" s="40"/>
      <c r="R102" s="41">
        <f t="shared" si="30"/>
      </c>
      <c r="S102" s="40"/>
      <c r="T102" s="40"/>
      <c r="U102" s="40"/>
      <c r="V102" s="40"/>
      <c r="W102" s="40"/>
      <c r="X102" s="40"/>
      <c r="Y102" s="40"/>
      <c r="Z102" s="40"/>
      <c r="AA102" s="40"/>
      <c r="AB102" s="40"/>
      <c r="AC102" s="40"/>
      <c r="AD102" s="40"/>
      <c r="AE102" s="40"/>
      <c r="AF102" s="40"/>
      <c r="AG102" s="39"/>
      <c r="AH102" s="39"/>
    </row>
    <row r="103" spans="4:34" ht="12.75">
      <c r="D103" s="9"/>
      <c r="E103" s="9"/>
      <c r="F103" s="40"/>
      <c r="G103" s="40"/>
      <c r="H103" s="41">
        <f t="shared" si="57"/>
      </c>
      <c r="I103" s="41">
        <f t="shared" si="57"/>
      </c>
      <c r="J103" s="41">
        <f t="shared" si="22"/>
      </c>
      <c r="K103" s="41">
        <f t="shared" si="23"/>
      </c>
      <c r="L103" s="40"/>
      <c r="M103" s="40"/>
      <c r="N103" s="41">
        <f t="shared" si="26"/>
      </c>
      <c r="O103" s="41">
        <f t="shared" si="27"/>
      </c>
      <c r="P103" s="40"/>
      <c r="Q103" s="40"/>
      <c r="R103" s="41">
        <f t="shared" si="30"/>
      </c>
      <c r="S103" s="40"/>
      <c r="T103" s="40"/>
      <c r="U103" s="40"/>
      <c r="V103" s="40"/>
      <c r="W103" s="40"/>
      <c r="X103" s="40"/>
      <c r="Y103" s="40"/>
      <c r="Z103" s="40"/>
      <c r="AA103" s="40"/>
      <c r="AB103" s="40"/>
      <c r="AC103" s="40"/>
      <c r="AD103" s="40"/>
      <c r="AE103" s="40"/>
      <c r="AF103" s="40"/>
      <c r="AG103" s="39"/>
      <c r="AH103" s="39"/>
    </row>
    <row r="104" spans="4:5" ht="12.75">
      <c r="D104" s="9" t="s">
        <v>76</v>
      </c>
      <c r="E104" s="9"/>
    </row>
    <row r="105" spans="1:32" ht="12.75">
      <c r="A105" t="s">
        <v>3</v>
      </c>
      <c r="B105" s="23">
        <v>0.05</v>
      </c>
      <c r="C105">
        <f aca="true" t="shared" si="62" ref="C105:C113">3^B105</f>
        <v>1.056467308549538</v>
      </c>
      <c r="D105" s="4" t="s">
        <v>4</v>
      </c>
      <c r="E105" s="25">
        <f aca="true" t="shared" si="63" ref="E105:E142">C22</f>
        <v>1</v>
      </c>
      <c r="F105" s="17">
        <f aca="true" t="shared" si="64" ref="F105:U105">IF(F64="",F64,$C$6^(F64-1))</f>
        <v>81</v>
      </c>
      <c r="G105" s="17">
        <f t="shared" si="64"/>
        <v>9</v>
      </c>
      <c r="H105" s="17">
        <f t="shared" si="64"/>
        <v>9</v>
      </c>
      <c r="I105" s="17">
        <f t="shared" si="64"/>
        <v>9</v>
      </c>
      <c r="J105" s="17">
        <f t="shared" si="64"/>
        <v>1</v>
      </c>
      <c r="K105" s="17">
        <f t="shared" si="64"/>
        <v>27</v>
      </c>
      <c r="L105" s="17">
        <f t="shared" si="64"/>
        <v>9</v>
      </c>
      <c r="M105" s="17">
        <f t="shared" si="64"/>
        <v>1</v>
      </c>
      <c r="N105" s="17">
        <f t="shared" si="64"/>
        <v>1</v>
      </c>
      <c r="O105" s="17">
        <f t="shared" si="64"/>
        <v>9</v>
      </c>
      <c r="P105" s="17">
        <f t="shared" si="64"/>
        <v>1</v>
      </c>
      <c r="Q105" s="17">
        <f t="shared" si="64"/>
        <v>1</v>
      </c>
      <c r="R105" s="17">
        <f t="shared" si="64"/>
        <v>3</v>
      </c>
      <c r="S105" s="17">
        <f t="shared" si="64"/>
        <v>81</v>
      </c>
      <c r="T105" s="17">
        <f t="shared" si="64"/>
        <v>1</v>
      </c>
      <c r="U105" s="17">
        <f t="shared" si="64"/>
        <v>1</v>
      </c>
      <c r="V105" s="17">
        <f aca="true" t="shared" si="65" ref="V105:AF105">IF(V64="",V64,$C$6^(V64-1))</f>
        <v>1</v>
      </c>
      <c r="W105" s="17">
        <f t="shared" si="65"/>
        <v>3</v>
      </c>
      <c r="X105" s="17">
        <f t="shared" si="65"/>
        <v>1</v>
      </c>
      <c r="Y105" s="17">
        <f t="shared" si="65"/>
        <v>3</v>
      </c>
      <c r="Z105" s="17">
        <f t="shared" si="65"/>
        <v>27</v>
      </c>
      <c r="AA105" s="17">
        <f t="shared" si="65"/>
        <v>1</v>
      </c>
      <c r="AB105" s="17">
        <f t="shared" si="65"/>
        <v>9</v>
      </c>
      <c r="AC105" s="17">
        <f t="shared" si="65"/>
        <v>1</v>
      </c>
      <c r="AD105" s="17">
        <f t="shared" si="65"/>
        <v>1</v>
      </c>
      <c r="AE105" s="17">
        <f t="shared" si="65"/>
        <v>9</v>
      </c>
      <c r="AF105" s="17">
        <f t="shared" si="65"/>
        <v>1</v>
      </c>
    </row>
    <row r="106" spans="2:32" ht="12.75">
      <c r="B106">
        <v>0.5</v>
      </c>
      <c r="C106">
        <f t="shared" si="62"/>
        <v>1.7320508075688772</v>
      </c>
      <c r="D106" s="5" t="s">
        <v>5</v>
      </c>
      <c r="E106" s="25">
        <f t="shared" si="63"/>
        <v>0</v>
      </c>
      <c r="F106" s="17">
        <f aca="true" t="shared" si="66" ref="F106:U106">IF(F65="",F65,$C$6^(F65-1))</f>
      </c>
      <c r="G106" s="17">
        <f t="shared" si="66"/>
      </c>
      <c r="H106" s="17">
        <f t="shared" si="66"/>
      </c>
      <c r="I106" s="17">
        <f t="shared" si="66"/>
      </c>
      <c r="J106" s="17">
        <f t="shared" si="66"/>
      </c>
      <c r="K106" s="17">
        <f t="shared" si="66"/>
      </c>
      <c r="L106" s="17">
        <f t="shared" si="66"/>
      </c>
      <c r="M106" s="17">
        <f t="shared" si="66"/>
      </c>
      <c r="N106" s="17">
        <f t="shared" si="66"/>
      </c>
      <c r="O106" s="17">
        <f t="shared" si="66"/>
      </c>
      <c r="P106" s="17">
        <f t="shared" si="66"/>
      </c>
      <c r="Q106" s="17">
        <f t="shared" si="66"/>
      </c>
      <c r="R106" s="17">
        <f t="shared" si="66"/>
      </c>
      <c r="S106" s="17">
        <f t="shared" si="66"/>
      </c>
      <c r="T106" s="17">
        <f t="shared" si="66"/>
      </c>
      <c r="U106" s="17">
        <f t="shared" si="66"/>
      </c>
      <c r="V106" s="17">
        <f aca="true" t="shared" si="67" ref="V106:AF106">IF(V65="",V65,$C$6^(V65-1))</f>
      </c>
      <c r="W106" s="17">
        <f t="shared" si="67"/>
      </c>
      <c r="X106" s="17">
        <f t="shared" si="67"/>
      </c>
      <c r="Y106" s="17">
        <f t="shared" si="67"/>
      </c>
      <c r="Z106" s="17">
        <f t="shared" si="67"/>
      </c>
      <c r="AA106" s="17">
        <f t="shared" si="67"/>
      </c>
      <c r="AB106" s="17">
        <f t="shared" si="67"/>
      </c>
      <c r="AC106" s="17">
        <f t="shared" si="67"/>
      </c>
      <c r="AD106" s="17">
        <f t="shared" si="67"/>
      </c>
      <c r="AE106" s="17">
        <f t="shared" si="67"/>
      </c>
      <c r="AF106" s="17">
        <f t="shared" si="67"/>
      </c>
    </row>
    <row r="107" spans="1:32" ht="12.75">
      <c r="A107" t="s">
        <v>27</v>
      </c>
      <c r="B107">
        <v>1</v>
      </c>
      <c r="C107">
        <f t="shared" si="62"/>
        <v>3</v>
      </c>
      <c r="D107" s="29" t="s">
        <v>6</v>
      </c>
      <c r="E107" s="25">
        <f t="shared" si="63"/>
        <v>0.5</v>
      </c>
      <c r="F107" s="17">
        <f aca="true" t="shared" si="68" ref="F107:U107">IF(F66="",F66,$C$6^(F66-1))</f>
        <v>9</v>
      </c>
      <c r="G107" s="17">
        <f t="shared" si="68"/>
        <v>9</v>
      </c>
      <c r="H107" s="17">
        <f t="shared" si="68"/>
        <v>9</v>
      </c>
      <c r="I107" s="17">
        <f t="shared" si="68"/>
        <v>9</v>
      </c>
      <c r="J107" s="17">
        <f t="shared" si="68"/>
        <v>9</v>
      </c>
      <c r="K107" s="17">
        <f t="shared" si="68"/>
        <v>9</v>
      </c>
      <c r="L107" s="17">
        <f t="shared" si="68"/>
        <v>9</v>
      </c>
      <c r="M107" s="17">
        <f t="shared" si="68"/>
        <v>9</v>
      </c>
      <c r="N107" s="17">
        <f t="shared" si="68"/>
        <v>9</v>
      </c>
      <c r="O107" s="17">
        <f t="shared" si="68"/>
        <v>9</v>
      </c>
      <c r="P107" s="17">
        <f t="shared" si="68"/>
        <v>3</v>
      </c>
      <c r="Q107" s="17">
        <f t="shared" si="68"/>
        <v>3</v>
      </c>
      <c r="R107" s="17">
        <f t="shared" si="68"/>
        <v>3</v>
      </c>
      <c r="S107" s="17">
        <f t="shared" si="68"/>
        <v>9</v>
      </c>
      <c r="T107" s="17">
        <f t="shared" si="68"/>
        <v>9</v>
      </c>
      <c r="U107" s="17">
        <f t="shared" si="68"/>
        <v>3</v>
      </c>
      <c r="V107" s="17">
        <f aca="true" t="shared" si="69" ref="V107:AF107">IF(V66="",V66,$C$6^(V66-1))</f>
        <v>3</v>
      </c>
      <c r="W107" s="17">
        <f t="shared" si="69"/>
        <v>3</v>
      </c>
      <c r="X107" s="17">
        <f t="shared" si="69"/>
        <v>3</v>
      </c>
      <c r="Y107" s="17">
        <f t="shared" si="69"/>
        <v>9</v>
      </c>
      <c r="Z107" s="17">
        <f t="shared" si="69"/>
        <v>9</v>
      </c>
      <c r="AA107" s="17">
        <f t="shared" si="69"/>
        <v>9</v>
      </c>
      <c r="AB107" s="17">
        <f t="shared" si="69"/>
        <v>3</v>
      </c>
      <c r="AC107" s="17">
        <f t="shared" si="69"/>
        <v>3</v>
      </c>
      <c r="AD107" s="17">
        <f t="shared" si="69"/>
        <v>3</v>
      </c>
      <c r="AE107" s="17">
        <f t="shared" si="69"/>
        <v>3</v>
      </c>
      <c r="AF107" s="17">
        <f t="shared" si="69"/>
        <v>9</v>
      </c>
    </row>
    <row r="108" spans="2:32" ht="12.75">
      <c r="B108">
        <v>1.5</v>
      </c>
      <c r="C108">
        <f t="shared" si="62"/>
        <v>5.196152422706632</v>
      </c>
      <c r="D108" s="6" t="s">
        <v>7</v>
      </c>
      <c r="E108" s="25">
        <f t="shared" si="63"/>
        <v>0.5</v>
      </c>
      <c r="F108" s="17">
        <f aca="true" t="shared" si="70" ref="F108:U108">IF(F67="",F67,$C$6^(F67-1))</f>
        <v>9</v>
      </c>
      <c r="G108" s="17">
        <f t="shared" si="70"/>
        <v>1</v>
      </c>
      <c r="H108" s="17">
        <f t="shared" si="70"/>
        <v>1</v>
      </c>
      <c r="I108" s="17">
        <f t="shared" si="70"/>
        <v>1</v>
      </c>
      <c r="J108" s="17">
        <f t="shared" si="70"/>
        <v>1</v>
      </c>
      <c r="K108" s="17">
        <f t="shared" si="70"/>
        <v>1</v>
      </c>
      <c r="L108" s="17">
        <f t="shared" si="70"/>
        <v>1</v>
      </c>
      <c r="M108" s="17">
        <f t="shared" si="70"/>
        <v>1</v>
      </c>
      <c r="N108" s="17">
        <f t="shared" si="70"/>
        <v>1</v>
      </c>
      <c r="O108" s="17">
        <f t="shared" si="70"/>
        <v>1</v>
      </c>
      <c r="P108" s="17">
        <f t="shared" si="70"/>
        <v>1</v>
      </c>
      <c r="Q108" s="17">
        <f t="shared" si="70"/>
        <v>1</v>
      </c>
      <c r="R108" s="17">
        <f t="shared" si="70"/>
        <v>1</v>
      </c>
      <c r="S108" s="17">
        <f t="shared" si="70"/>
        <v>1</v>
      </c>
      <c r="T108" s="17">
        <f t="shared" si="70"/>
        <v>1</v>
      </c>
      <c r="U108" s="17">
        <f t="shared" si="70"/>
        <v>1</v>
      </c>
      <c r="V108" s="17">
        <f aca="true" t="shared" si="71" ref="V108:AF108">IF(V67="",V67,$C$6^(V67-1))</f>
        <v>1</v>
      </c>
      <c r="W108" s="17">
        <f t="shared" si="71"/>
        <v>1</v>
      </c>
      <c r="X108" s="17">
        <f t="shared" si="71"/>
        <v>1</v>
      </c>
      <c r="Y108" s="17">
        <f t="shared" si="71"/>
        <v>1</v>
      </c>
      <c r="Z108" s="17">
        <f t="shared" si="71"/>
        <v>1</v>
      </c>
      <c r="AA108" s="17">
        <f t="shared" si="71"/>
        <v>1</v>
      </c>
      <c r="AB108" s="17">
        <f t="shared" si="71"/>
        <v>1</v>
      </c>
      <c r="AC108" s="17">
        <f t="shared" si="71"/>
        <v>1</v>
      </c>
      <c r="AD108" s="17">
        <f t="shared" si="71"/>
        <v>1</v>
      </c>
      <c r="AE108" s="17">
        <f t="shared" si="71"/>
        <v>1</v>
      </c>
      <c r="AF108" s="17">
        <f t="shared" si="71"/>
        <v>1</v>
      </c>
    </row>
    <row r="109" spans="1:32" ht="12.75">
      <c r="A109" t="s">
        <v>1</v>
      </c>
      <c r="B109">
        <v>2</v>
      </c>
      <c r="C109">
        <f t="shared" si="62"/>
        <v>9</v>
      </c>
      <c r="D109" s="6" t="s">
        <v>8</v>
      </c>
      <c r="E109" s="25">
        <f t="shared" si="63"/>
        <v>0.5</v>
      </c>
      <c r="F109" s="17">
        <f aca="true" t="shared" si="72" ref="F109:U109">IF(F68="",F68,$C$6^(F68-1))</f>
        <v>1</v>
      </c>
      <c r="G109" s="17">
        <f t="shared" si="72"/>
        <v>1</v>
      </c>
      <c r="H109" s="17">
        <f t="shared" si="72"/>
        <v>1</v>
      </c>
      <c r="I109" s="17">
        <f t="shared" si="72"/>
        <v>1</v>
      </c>
      <c r="J109" s="17">
        <f t="shared" si="72"/>
        <v>1</v>
      </c>
      <c r="K109" s="17">
        <f t="shared" si="72"/>
        <v>1</v>
      </c>
      <c r="L109" s="17">
        <f t="shared" si="72"/>
        <v>1</v>
      </c>
      <c r="M109" s="17">
        <f t="shared" si="72"/>
        <v>1</v>
      </c>
      <c r="N109" s="17">
        <f t="shared" si="72"/>
        <v>1</v>
      </c>
      <c r="O109" s="17">
        <f t="shared" si="72"/>
        <v>1</v>
      </c>
      <c r="P109" s="17">
        <f t="shared" si="72"/>
        <v>1</v>
      </c>
      <c r="Q109" s="17">
        <f t="shared" si="72"/>
        <v>1</v>
      </c>
      <c r="R109" s="17">
        <f t="shared" si="72"/>
        <v>1</v>
      </c>
      <c r="S109" s="17">
        <f t="shared" si="72"/>
        <v>1</v>
      </c>
      <c r="T109" s="17">
        <f t="shared" si="72"/>
        <v>1</v>
      </c>
      <c r="U109" s="17">
        <f t="shared" si="72"/>
        <v>1</v>
      </c>
      <c r="V109" s="17">
        <f aca="true" t="shared" si="73" ref="V109:AF109">IF(V68="",V68,$C$6^(V68-1))</f>
        <v>1</v>
      </c>
      <c r="W109" s="17">
        <f t="shared" si="73"/>
        <v>1</v>
      </c>
      <c r="X109" s="17">
        <f t="shared" si="73"/>
        <v>1</v>
      </c>
      <c r="Y109" s="17">
        <f t="shared" si="73"/>
        <v>1</v>
      </c>
      <c r="Z109" s="17">
        <f t="shared" si="73"/>
        <v>1</v>
      </c>
      <c r="AA109" s="17">
        <f t="shared" si="73"/>
        <v>1</v>
      </c>
      <c r="AB109" s="17">
        <f t="shared" si="73"/>
        <v>1</v>
      </c>
      <c r="AC109" s="17">
        <f t="shared" si="73"/>
        <v>1</v>
      </c>
      <c r="AD109" s="17">
        <f t="shared" si="73"/>
        <v>1</v>
      </c>
      <c r="AE109" s="17">
        <f t="shared" si="73"/>
        <v>1</v>
      </c>
      <c r="AF109" s="17">
        <f t="shared" si="73"/>
        <v>1</v>
      </c>
    </row>
    <row r="110" spans="2:32" ht="12.75">
      <c r="B110">
        <v>2.5</v>
      </c>
      <c r="C110">
        <f t="shared" si="62"/>
        <v>15.588457268119901</v>
      </c>
      <c r="D110" s="7" t="s">
        <v>9</v>
      </c>
      <c r="E110" s="25">
        <f t="shared" si="63"/>
        <v>0.5</v>
      </c>
      <c r="F110" s="17">
        <f aca="true" t="shared" si="74" ref="F110:U110">IF(F69="",F69,$C$6^(F69-1))</f>
        <v>27</v>
      </c>
      <c r="G110" s="17">
        <f t="shared" si="74"/>
        <v>1</v>
      </c>
      <c r="H110" s="17">
        <f t="shared" si="74"/>
        <v>3</v>
      </c>
      <c r="I110" s="17">
        <f t="shared" si="74"/>
        <v>9</v>
      </c>
      <c r="J110" s="17">
        <f t="shared" si="74"/>
        <v>9</v>
      </c>
      <c r="K110" s="17">
        <f t="shared" si="74"/>
        <v>9</v>
      </c>
      <c r="L110" s="17">
        <f t="shared" si="74"/>
        <v>3</v>
      </c>
      <c r="M110" s="17">
        <f t="shared" si="74"/>
        <v>9</v>
      </c>
      <c r="N110" s="17">
        <f t="shared" si="74"/>
        <v>1</v>
      </c>
      <c r="O110" s="17">
        <f t="shared" si="74"/>
        <v>3</v>
      </c>
      <c r="P110" s="17">
        <f t="shared" si="74"/>
        <v>1</v>
      </c>
      <c r="Q110" s="17">
        <f t="shared" si="74"/>
        <v>9</v>
      </c>
      <c r="R110" s="17">
        <f t="shared" si="74"/>
        <v>9</v>
      </c>
      <c r="S110" s="17">
        <f t="shared" si="74"/>
        <v>3</v>
      </c>
      <c r="T110" s="17">
        <f t="shared" si="74"/>
        <v>1</v>
      </c>
      <c r="U110" s="17">
        <f t="shared" si="74"/>
        <v>3</v>
      </c>
      <c r="V110" s="17">
        <f aca="true" t="shared" si="75" ref="V110:AF110">IF(V69="",V69,$C$6^(V69-1))</f>
        <v>3</v>
      </c>
      <c r="W110" s="17">
        <f t="shared" si="75"/>
        <v>9</v>
      </c>
      <c r="X110" s="17">
        <f t="shared" si="75"/>
        <v>9</v>
      </c>
      <c r="Y110" s="17">
        <f t="shared" si="75"/>
        <v>3</v>
      </c>
      <c r="Z110" s="17">
        <f t="shared" si="75"/>
        <v>3</v>
      </c>
      <c r="AA110" s="17">
        <f t="shared" si="75"/>
        <v>1</v>
      </c>
      <c r="AB110" s="17">
        <f t="shared" si="75"/>
        <v>1</v>
      </c>
      <c r="AC110" s="17">
        <f t="shared" si="75"/>
        <v>1</v>
      </c>
      <c r="AD110" s="17">
        <f t="shared" si="75"/>
        <v>1</v>
      </c>
      <c r="AE110" s="17">
        <f t="shared" si="75"/>
        <v>1</v>
      </c>
      <c r="AF110" s="17">
        <f t="shared" si="75"/>
        <v>1</v>
      </c>
    </row>
    <row r="111" spans="1:32" ht="12.75">
      <c r="A111" t="s">
        <v>2</v>
      </c>
      <c r="B111">
        <v>3</v>
      </c>
      <c r="C111">
        <f t="shared" si="62"/>
        <v>27</v>
      </c>
      <c r="D111" s="6" t="s">
        <v>10</v>
      </c>
      <c r="E111" s="25">
        <f t="shared" si="63"/>
        <v>0</v>
      </c>
      <c r="F111" s="17">
        <f aca="true" t="shared" si="76" ref="F111:U111">IF(F70="",F70,$C$6^(F70-1))</f>
      </c>
      <c r="G111" s="17">
        <f t="shared" si="76"/>
      </c>
      <c r="H111" s="17">
        <f t="shared" si="76"/>
      </c>
      <c r="I111" s="17">
        <f t="shared" si="76"/>
      </c>
      <c r="J111" s="17">
        <f t="shared" si="76"/>
      </c>
      <c r="K111" s="17">
        <f t="shared" si="76"/>
      </c>
      <c r="L111" s="17">
        <f t="shared" si="76"/>
      </c>
      <c r="M111" s="17">
        <f t="shared" si="76"/>
      </c>
      <c r="N111" s="17">
        <f t="shared" si="76"/>
      </c>
      <c r="O111" s="17">
        <f t="shared" si="76"/>
      </c>
      <c r="P111" s="17">
        <f t="shared" si="76"/>
      </c>
      <c r="Q111" s="17">
        <f t="shared" si="76"/>
      </c>
      <c r="R111" s="17">
        <f t="shared" si="76"/>
      </c>
      <c r="S111" s="17">
        <f t="shared" si="76"/>
      </c>
      <c r="T111" s="17">
        <f t="shared" si="76"/>
      </c>
      <c r="U111" s="17">
        <f t="shared" si="76"/>
      </c>
      <c r="V111" s="17">
        <f aca="true" t="shared" si="77" ref="V111:AF111">IF(V70="",V70,$C$6^(V70-1))</f>
      </c>
      <c r="W111" s="17">
        <f t="shared" si="77"/>
      </c>
      <c r="X111" s="17">
        <f t="shared" si="77"/>
      </c>
      <c r="Y111" s="17">
        <f t="shared" si="77"/>
      </c>
      <c r="Z111" s="17">
        <f t="shared" si="77"/>
      </c>
      <c r="AA111" s="17">
        <f t="shared" si="77"/>
      </c>
      <c r="AB111" s="17">
        <f t="shared" si="77"/>
      </c>
      <c r="AC111" s="17">
        <f t="shared" si="77"/>
      </c>
      <c r="AD111" s="17">
        <f t="shared" si="77"/>
      </c>
      <c r="AE111" s="17">
        <f t="shared" si="77"/>
      </c>
      <c r="AF111" s="17">
        <f t="shared" si="77"/>
      </c>
    </row>
    <row r="112" spans="2:32" ht="12.75">
      <c r="B112">
        <v>3.5</v>
      </c>
      <c r="C112">
        <f t="shared" si="62"/>
        <v>46.765371804359695</v>
      </c>
      <c r="D112" s="8" t="s">
        <v>11</v>
      </c>
      <c r="E112" s="25">
        <f t="shared" si="63"/>
        <v>0</v>
      </c>
      <c r="F112" s="17">
        <f aca="true" t="shared" si="78" ref="F112:U112">IF(F71="",F71,$C$6^(F71-1))</f>
      </c>
      <c r="G112" s="17">
        <f t="shared" si="78"/>
      </c>
      <c r="H112" s="17">
        <f t="shared" si="78"/>
      </c>
      <c r="I112" s="17">
        <f t="shared" si="78"/>
      </c>
      <c r="J112" s="17">
        <f t="shared" si="78"/>
      </c>
      <c r="K112" s="17">
        <f t="shared" si="78"/>
      </c>
      <c r="L112" s="17">
        <f t="shared" si="78"/>
      </c>
      <c r="M112" s="17">
        <f t="shared" si="78"/>
      </c>
      <c r="N112" s="17">
        <f t="shared" si="78"/>
      </c>
      <c r="O112" s="17">
        <f t="shared" si="78"/>
      </c>
      <c r="P112" s="17">
        <f t="shared" si="78"/>
      </c>
      <c r="Q112" s="17">
        <f t="shared" si="78"/>
      </c>
      <c r="R112" s="17">
        <f t="shared" si="78"/>
      </c>
      <c r="S112" s="17">
        <f t="shared" si="78"/>
      </c>
      <c r="T112" s="17">
        <f t="shared" si="78"/>
      </c>
      <c r="U112" s="17">
        <f t="shared" si="78"/>
      </c>
      <c r="V112" s="17">
        <f aca="true" t="shared" si="79" ref="V112:AF112">IF(V71="",V71,$C$6^(V71-1))</f>
      </c>
      <c r="W112" s="17">
        <f t="shared" si="79"/>
      </c>
      <c r="X112" s="17">
        <f t="shared" si="79"/>
      </c>
      <c r="Y112" s="17">
        <f t="shared" si="79"/>
      </c>
      <c r="Z112" s="17">
        <f t="shared" si="79"/>
      </c>
      <c r="AA112" s="17">
        <f t="shared" si="79"/>
      </c>
      <c r="AB112" s="17">
        <f t="shared" si="79"/>
      </c>
      <c r="AC112" s="17">
        <f t="shared" si="79"/>
      </c>
      <c r="AD112" s="17">
        <f t="shared" si="79"/>
      </c>
      <c r="AE112" s="17">
        <f t="shared" si="79"/>
      </c>
      <c r="AF112" s="17">
        <f t="shared" si="79"/>
      </c>
    </row>
    <row r="113" spans="1:32" ht="12.75">
      <c r="A113" t="s">
        <v>0</v>
      </c>
      <c r="B113">
        <v>4</v>
      </c>
      <c r="C113">
        <f t="shared" si="62"/>
        <v>81</v>
      </c>
      <c r="D113" s="4" t="s">
        <v>12</v>
      </c>
      <c r="E113" s="25">
        <f t="shared" si="63"/>
        <v>0.5</v>
      </c>
      <c r="F113" s="17">
        <f aca="true" t="shared" si="80" ref="F113:U113">IF(F72="",F72,$C$6^(F72-1))</f>
        <v>81</v>
      </c>
      <c r="G113" s="17">
        <f t="shared" si="80"/>
        <v>9</v>
      </c>
      <c r="H113" s="17">
        <f t="shared" si="80"/>
        <v>3</v>
      </c>
      <c r="I113" s="17">
        <f t="shared" si="80"/>
        <v>3</v>
      </c>
      <c r="J113" s="17">
        <f t="shared" si="80"/>
        <v>9</v>
      </c>
      <c r="K113" s="17">
        <f t="shared" si="80"/>
        <v>9</v>
      </c>
      <c r="L113" s="17">
        <f t="shared" si="80"/>
        <v>27</v>
      </c>
      <c r="M113" s="17">
        <f t="shared" si="80"/>
        <v>9</v>
      </c>
      <c r="N113" s="17">
        <f t="shared" si="80"/>
        <v>1</v>
      </c>
      <c r="O113" s="17">
        <f t="shared" si="80"/>
        <v>3</v>
      </c>
      <c r="P113" s="17">
        <f t="shared" si="80"/>
        <v>1</v>
      </c>
      <c r="Q113" s="17">
        <f t="shared" si="80"/>
        <v>3</v>
      </c>
      <c r="R113" s="17">
        <f t="shared" si="80"/>
        <v>3</v>
      </c>
      <c r="S113" s="17">
        <f t="shared" si="80"/>
        <v>3</v>
      </c>
      <c r="T113" s="17">
        <f t="shared" si="80"/>
        <v>3</v>
      </c>
      <c r="U113" s="17">
        <f t="shared" si="80"/>
        <v>1</v>
      </c>
      <c r="V113" s="17">
        <f aca="true" t="shared" si="81" ref="V113:AF113">IF(V72="",V72,$C$6^(V72-1))</f>
        <v>3</v>
      </c>
      <c r="W113" s="17">
        <f t="shared" si="81"/>
        <v>1</v>
      </c>
      <c r="X113" s="17">
        <f t="shared" si="81"/>
        <v>1</v>
      </c>
      <c r="Y113" s="17">
        <f t="shared" si="81"/>
        <v>3</v>
      </c>
      <c r="Z113" s="17">
        <f t="shared" si="81"/>
        <v>3</v>
      </c>
      <c r="AA113" s="17">
        <f t="shared" si="81"/>
        <v>1</v>
      </c>
      <c r="AB113" s="17">
        <f t="shared" si="81"/>
        <v>1</v>
      </c>
      <c r="AC113" s="17">
        <f t="shared" si="81"/>
        <v>1</v>
      </c>
      <c r="AD113" s="17">
        <f t="shared" si="81"/>
        <v>1</v>
      </c>
      <c r="AE113" s="17">
        <f t="shared" si="81"/>
        <v>3</v>
      </c>
      <c r="AF113" s="17">
        <f t="shared" si="81"/>
        <v>3</v>
      </c>
    </row>
    <row r="114" spans="4:32" ht="12.75">
      <c r="D114" s="6" t="s">
        <v>13</v>
      </c>
      <c r="E114" s="25">
        <f t="shared" si="63"/>
        <v>0.5</v>
      </c>
      <c r="F114" s="17">
        <f aca="true" t="shared" si="82" ref="F114:U114">IF(F73="",F73,$C$6^(F73-1))</f>
        <v>27</v>
      </c>
      <c r="G114" s="17">
        <f t="shared" si="82"/>
        <v>27</v>
      </c>
      <c r="H114" s="17">
        <f t="shared" si="82"/>
        <v>9</v>
      </c>
      <c r="I114" s="17">
        <f t="shared" si="82"/>
        <v>9</v>
      </c>
      <c r="J114" s="17">
        <f t="shared" si="82"/>
        <v>27</v>
      </c>
      <c r="K114" s="17">
        <f t="shared" si="82"/>
        <v>27</v>
      </c>
      <c r="L114" s="17">
        <f t="shared" si="82"/>
        <v>27</v>
      </c>
      <c r="M114" s="17">
        <f t="shared" si="82"/>
        <v>27</v>
      </c>
      <c r="N114" s="17">
        <f t="shared" si="82"/>
        <v>3</v>
      </c>
      <c r="O114" s="17">
        <f t="shared" si="82"/>
        <v>9</v>
      </c>
      <c r="P114" s="17">
        <f t="shared" si="82"/>
        <v>1</v>
      </c>
      <c r="Q114" s="17">
        <f t="shared" si="82"/>
        <v>3</v>
      </c>
      <c r="R114" s="17">
        <f t="shared" si="82"/>
        <v>9</v>
      </c>
      <c r="S114" s="17">
        <f t="shared" si="82"/>
        <v>9</v>
      </c>
      <c r="T114" s="17">
        <f t="shared" si="82"/>
        <v>9</v>
      </c>
      <c r="U114" s="17">
        <f t="shared" si="82"/>
        <v>3</v>
      </c>
      <c r="V114" s="17">
        <f aca="true" t="shared" si="83" ref="V114:AF114">IF(V73="",V73,$C$6^(V73-1))</f>
        <v>3</v>
      </c>
      <c r="W114" s="17">
        <f t="shared" si="83"/>
        <v>3</v>
      </c>
      <c r="X114" s="17">
        <f t="shared" si="83"/>
        <v>3</v>
      </c>
      <c r="Y114" s="17">
        <f t="shared" si="83"/>
        <v>27</v>
      </c>
      <c r="Z114" s="17">
        <f t="shared" si="83"/>
        <v>27</v>
      </c>
      <c r="AA114" s="17">
        <f t="shared" si="83"/>
        <v>3</v>
      </c>
      <c r="AB114" s="17">
        <f t="shared" si="83"/>
        <v>3</v>
      </c>
      <c r="AC114" s="17">
        <f t="shared" si="83"/>
        <v>3</v>
      </c>
      <c r="AD114" s="17">
        <f t="shared" si="83"/>
        <v>9</v>
      </c>
      <c r="AE114" s="17">
        <f t="shared" si="83"/>
        <v>9</v>
      </c>
      <c r="AF114" s="17">
        <f t="shared" si="83"/>
        <v>9</v>
      </c>
    </row>
    <row r="115" spans="4:32" ht="12.75">
      <c r="D115" s="8" t="s">
        <v>14</v>
      </c>
      <c r="E115" s="25">
        <f t="shared" si="63"/>
        <v>0</v>
      </c>
      <c r="F115" s="17">
        <f aca="true" t="shared" si="84" ref="F115:U115">IF(F74="",F74,$C$6^(F74-1))</f>
      </c>
      <c r="G115" s="17">
        <f t="shared" si="84"/>
      </c>
      <c r="H115" s="17">
        <f t="shared" si="84"/>
      </c>
      <c r="I115" s="17">
        <f t="shared" si="84"/>
      </c>
      <c r="J115" s="17">
        <f t="shared" si="84"/>
      </c>
      <c r="K115" s="17">
        <f t="shared" si="84"/>
      </c>
      <c r="L115" s="17">
        <f t="shared" si="84"/>
      </c>
      <c r="M115" s="17">
        <f t="shared" si="84"/>
      </c>
      <c r="N115" s="17">
        <f t="shared" si="84"/>
      </c>
      <c r="O115" s="17">
        <f t="shared" si="84"/>
      </c>
      <c r="P115" s="17">
        <f t="shared" si="84"/>
      </c>
      <c r="Q115" s="17">
        <f t="shared" si="84"/>
      </c>
      <c r="R115" s="17">
        <f t="shared" si="84"/>
      </c>
      <c r="S115" s="17">
        <f t="shared" si="84"/>
      </c>
      <c r="T115" s="17">
        <f t="shared" si="84"/>
      </c>
      <c r="U115" s="17">
        <f t="shared" si="84"/>
      </c>
      <c r="V115" s="17">
        <f aca="true" t="shared" si="85" ref="V115:AF115">IF(V74="",V74,$C$6^(V74-1))</f>
      </c>
      <c r="W115" s="17">
        <f t="shared" si="85"/>
      </c>
      <c r="X115" s="17">
        <f t="shared" si="85"/>
      </c>
      <c r="Y115" s="17">
        <f t="shared" si="85"/>
      </c>
      <c r="Z115" s="17">
        <f t="shared" si="85"/>
      </c>
      <c r="AA115" s="17">
        <f t="shared" si="85"/>
      </c>
      <c r="AB115" s="17">
        <f t="shared" si="85"/>
      </c>
      <c r="AC115" s="17">
        <f t="shared" si="85"/>
      </c>
      <c r="AD115" s="17">
        <f t="shared" si="85"/>
      </c>
      <c r="AE115" s="17">
        <f t="shared" si="85"/>
      </c>
      <c r="AF115" s="17">
        <f t="shared" si="85"/>
      </c>
    </row>
    <row r="116" spans="4:32" ht="12.75">
      <c r="D116" s="8" t="s">
        <v>15</v>
      </c>
      <c r="E116" s="25">
        <f t="shared" si="63"/>
        <v>0.5</v>
      </c>
      <c r="F116" s="17">
        <f aca="true" t="shared" si="86" ref="F116:U116">IF(F75="",F75,$C$6^(F75-1))</f>
        <v>81</v>
      </c>
      <c r="G116" s="17">
        <f t="shared" si="86"/>
        <v>27</v>
      </c>
      <c r="H116" s="17">
        <f t="shared" si="86"/>
        <v>3</v>
      </c>
      <c r="I116" s="17">
        <f t="shared" si="86"/>
        <v>9</v>
      </c>
      <c r="J116" s="17">
        <f t="shared" si="86"/>
        <v>27</v>
      </c>
      <c r="K116" s="17">
        <f t="shared" si="86"/>
        <v>27</v>
      </c>
      <c r="L116" s="17">
        <f t="shared" si="86"/>
        <v>9</v>
      </c>
      <c r="M116" s="17">
        <f t="shared" si="86"/>
        <v>9</v>
      </c>
      <c r="N116" s="17">
        <f t="shared" si="86"/>
        <v>3</v>
      </c>
      <c r="O116" s="17">
        <f t="shared" si="86"/>
        <v>9</v>
      </c>
      <c r="P116" s="17">
        <f t="shared" si="86"/>
        <v>1</v>
      </c>
      <c r="Q116" s="17">
        <f t="shared" si="86"/>
        <v>3</v>
      </c>
      <c r="R116" s="17">
        <f t="shared" si="86"/>
        <v>3</v>
      </c>
      <c r="S116" s="17">
        <f t="shared" si="86"/>
        <v>3</v>
      </c>
      <c r="T116" s="17">
        <f t="shared" si="86"/>
        <v>3</v>
      </c>
      <c r="U116" s="17">
        <f t="shared" si="86"/>
        <v>3</v>
      </c>
      <c r="V116" s="17">
        <f aca="true" t="shared" si="87" ref="V116:AF116">IF(V75="",V75,$C$6^(V75-1))</f>
        <v>3</v>
      </c>
      <c r="W116" s="17">
        <f t="shared" si="87"/>
        <v>3</v>
      </c>
      <c r="X116" s="17">
        <f t="shared" si="87"/>
        <v>3</v>
      </c>
      <c r="Y116" s="17">
        <f t="shared" si="87"/>
        <v>27</v>
      </c>
      <c r="Z116" s="17">
        <f t="shared" si="87"/>
        <v>27</v>
      </c>
      <c r="AA116" s="17">
        <f t="shared" si="87"/>
        <v>3</v>
      </c>
      <c r="AB116" s="17">
        <f t="shared" si="87"/>
        <v>3</v>
      </c>
      <c r="AC116" s="17">
        <f t="shared" si="87"/>
        <v>3</v>
      </c>
      <c r="AD116" s="17">
        <f t="shared" si="87"/>
        <v>3</v>
      </c>
      <c r="AE116" s="17">
        <f t="shared" si="87"/>
        <v>3</v>
      </c>
      <c r="AF116" s="17">
        <f t="shared" si="87"/>
        <v>3</v>
      </c>
    </row>
    <row r="117" spans="4:32" ht="12.75">
      <c r="D117" s="8" t="s">
        <v>16</v>
      </c>
      <c r="E117" s="25">
        <f t="shared" si="63"/>
        <v>1</v>
      </c>
      <c r="F117" s="17">
        <f aca="true" t="shared" si="88" ref="F117:U117">IF(F76="",F76,$C$6^(F76-1))</f>
      </c>
      <c r="G117" s="17">
        <f t="shared" si="88"/>
      </c>
      <c r="H117" s="17">
        <f t="shared" si="88"/>
      </c>
      <c r="I117" s="17">
        <f t="shared" si="88"/>
      </c>
      <c r="J117" s="17">
        <f t="shared" si="88"/>
      </c>
      <c r="K117" s="17">
        <f t="shared" si="88"/>
      </c>
      <c r="L117" s="17">
        <f t="shared" si="88"/>
      </c>
      <c r="M117" s="17">
        <f t="shared" si="88"/>
      </c>
      <c r="N117" s="17">
        <f t="shared" si="88"/>
      </c>
      <c r="O117" s="17">
        <f t="shared" si="88"/>
      </c>
      <c r="P117" s="17">
        <f t="shared" si="88"/>
      </c>
      <c r="Q117" s="17">
        <f t="shared" si="88"/>
      </c>
      <c r="R117" s="17">
        <f t="shared" si="88"/>
      </c>
      <c r="S117" s="17">
        <f t="shared" si="88"/>
      </c>
      <c r="T117" s="17">
        <f t="shared" si="88"/>
      </c>
      <c r="U117" s="17">
        <f t="shared" si="88"/>
      </c>
      <c r="V117" s="17">
        <f aca="true" t="shared" si="89" ref="V117:AF117">IF(V76="",V76,$C$6^(V76-1))</f>
      </c>
      <c r="W117" s="17">
        <f t="shared" si="89"/>
      </c>
      <c r="X117" s="17">
        <f t="shared" si="89"/>
      </c>
      <c r="Y117" s="17">
        <f t="shared" si="89"/>
      </c>
      <c r="Z117" s="17">
        <f t="shared" si="89"/>
      </c>
      <c r="AA117" s="17">
        <f t="shared" si="89"/>
      </c>
      <c r="AB117" s="17">
        <f t="shared" si="89"/>
      </c>
      <c r="AC117" s="17">
        <f t="shared" si="89"/>
      </c>
      <c r="AD117" s="17">
        <f t="shared" si="89"/>
      </c>
      <c r="AE117" s="17">
        <f t="shared" si="89"/>
      </c>
      <c r="AF117" s="17">
        <f t="shared" si="89"/>
      </c>
    </row>
    <row r="118" spans="4:32" ht="12.75">
      <c r="D118" s="9" t="s">
        <v>17</v>
      </c>
      <c r="E118" s="25">
        <f t="shared" si="63"/>
        <v>3</v>
      </c>
      <c r="F118" s="17">
        <f aca="true" t="shared" si="90" ref="F118:U118">IF(F77="",F77,$C$6^(F77-1))</f>
        <v>27</v>
      </c>
      <c r="G118" s="17">
        <f t="shared" si="90"/>
        <v>9</v>
      </c>
      <c r="H118" s="17">
        <f t="shared" si="90"/>
        <v>3</v>
      </c>
      <c r="I118" s="17">
        <f t="shared" si="90"/>
        <v>27</v>
      </c>
      <c r="J118" s="17">
        <f t="shared" si="90"/>
        <v>27</v>
      </c>
      <c r="K118" s="17">
        <f t="shared" si="90"/>
        <v>27</v>
      </c>
      <c r="L118" s="17">
        <f t="shared" si="90"/>
        <v>9</v>
      </c>
      <c r="M118" s="17">
        <f t="shared" si="90"/>
        <v>9</v>
      </c>
      <c r="N118" s="17">
        <f t="shared" si="90"/>
        <v>1</v>
      </c>
      <c r="O118" s="17">
        <f t="shared" si="90"/>
        <v>9</v>
      </c>
      <c r="P118" s="17">
        <f t="shared" si="90"/>
        <v>1</v>
      </c>
      <c r="Q118" s="17">
        <f t="shared" si="90"/>
        <v>9</v>
      </c>
      <c r="R118" s="17">
        <f t="shared" si="90"/>
        <v>9</v>
      </c>
      <c r="S118" s="17">
        <f t="shared" si="90"/>
        <v>3</v>
      </c>
      <c r="T118" s="17">
        <f t="shared" si="90"/>
        <v>3</v>
      </c>
      <c r="U118" s="17">
        <f t="shared" si="90"/>
        <v>1</v>
      </c>
      <c r="V118" s="17">
        <f aca="true" t="shared" si="91" ref="V118:AF118">IF(V77="",V77,$C$6^(V77-1))</f>
        <v>1</v>
      </c>
      <c r="W118" s="17">
        <f t="shared" si="91"/>
        <v>9</v>
      </c>
      <c r="X118" s="17">
        <f t="shared" si="91"/>
        <v>3</v>
      </c>
      <c r="Y118" s="17">
        <f t="shared" si="91"/>
        <v>3</v>
      </c>
      <c r="Z118" s="17">
        <f t="shared" si="91"/>
        <v>3</v>
      </c>
      <c r="AA118" s="17">
        <f t="shared" si="91"/>
        <v>1</v>
      </c>
      <c r="AB118" s="17">
        <f t="shared" si="91"/>
        <v>1</v>
      </c>
      <c r="AC118" s="17">
        <f t="shared" si="91"/>
        <v>1</v>
      </c>
      <c r="AD118" s="17">
        <f t="shared" si="91"/>
        <v>1</v>
      </c>
      <c r="AE118" s="17">
        <f t="shared" si="91"/>
        <v>1</v>
      </c>
      <c r="AF118" s="17">
        <f t="shared" si="91"/>
        <v>1</v>
      </c>
    </row>
    <row r="119" spans="4:32" ht="12.75">
      <c r="D119" s="30" t="s">
        <v>18</v>
      </c>
      <c r="E119" s="25">
        <f t="shared" si="63"/>
        <v>2</v>
      </c>
      <c r="F119" s="17">
        <f aca="true" t="shared" si="92" ref="F119:U119">IF(F78="",F78,$C$6^(F78-1))</f>
        <v>27</v>
      </c>
      <c r="G119" s="17">
        <f t="shared" si="92"/>
        <v>27</v>
      </c>
      <c r="H119" s="17">
        <f t="shared" si="92"/>
        <v>9</v>
      </c>
      <c r="I119" s="17">
        <f t="shared" si="92"/>
        <v>81</v>
      </c>
      <c r="J119" s="17">
        <f t="shared" si="92"/>
        <v>27</v>
      </c>
      <c r="K119" s="17">
        <f t="shared" si="92"/>
        <v>27</v>
      </c>
      <c r="L119" s="17">
        <f t="shared" si="92"/>
        <v>27</v>
      </c>
      <c r="M119" s="17">
        <f t="shared" si="92"/>
        <v>27</v>
      </c>
      <c r="N119" s="17">
        <f t="shared" si="92"/>
        <v>1</v>
      </c>
      <c r="O119" s="17">
        <f t="shared" si="92"/>
        <v>9</v>
      </c>
      <c r="P119" s="17">
        <f t="shared" si="92"/>
        <v>1</v>
      </c>
      <c r="Q119" s="17">
        <f t="shared" si="92"/>
        <v>27</v>
      </c>
      <c r="R119" s="17">
        <f t="shared" si="92"/>
        <v>9</v>
      </c>
      <c r="S119" s="17">
        <f t="shared" si="92"/>
        <v>1</v>
      </c>
      <c r="T119" s="17">
        <f t="shared" si="92"/>
        <v>1</v>
      </c>
      <c r="U119" s="17">
        <f t="shared" si="92"/>
        <v>1</v>
      </c>
      <c r="V119" s="17">
        <f aca="true" t="shared" si="93" ref="V119:AF119">IF(V78="",V78,$C$6^(V78-1))</f>
        <v>1</v>
      </c>
      <c r="W119" s="17">
        <f t="shared" si="93"/>
        <v>9</v>
      </c>
      <c r="X119" s="17">
        <f t="shared" si="93"/>
        <v>1</v>
      </c>
      <c r="Y119" s="17">
        <f t="shared" si="93"/>
        <v>1</v>
      </c>
      <c r="Z119" s="17">
        <f t="shared" si="93"/>
        <v>1</v>
      </c>
      <c r="AA119" s="17">
        <f t="shared" si="93"/>
        <v>1</v>
      </c>
      <c r="AB119" s="17">
        <f t="shared" si="93"/>
        <v>1</v>
      </c>
      <c r="AC119" s="17">
        <f t="shared" si="93"/>
        <v>1</v>
      </c>
      <c r="AD119" s="17">
        <f t="shared" si="93"/>
        <v>1</v>
      </c>
      <c r="AE119" s="17">
        <f t="shared" si="93"/>
        <v>1</v>
      </c>
      <c r="AF119" s="17">
        <f t="shared" si="93"/>
        <v>1</v>
      </c>
    </row>
    <row r="120" spans="4:32" ht="12.75">
      <c r="D120" s="7" t="s">
        <v>19</v>
      </c>
      <c r="E120" s="25">
        <f t="shared" si="63"/>
        <v>1</v>
      </c>
      <c r="F120" s="17">
        <f aca="true" t="shared" si="94" ref="F120:U120">IF(F79="",F79,$C$6^(F79-1))</f>
        <v>27</v>
      </c>
      <c r="G120" s="17">
        <f t="shared" si="94"/>
        <v>3</v>
      </c>
      <c r="H120" s="17">
        <f t="shared" si="94"/>
        <v>1</v>
      </c>
      <c r="I120" s="17">
        <f>IF(I79="",I79,$C$6^(I79-1))</f>
        <v>3</v>
      </c>
      <c r="J120" s="17">
        <f t="shared" si="94"/>
        <v>9</v>
      </c>
      <c r="K120" s="17">
        <f t="shared" si="94"/>
        <v>1</v>
      </c>
      <c r="L120" s="17">
        <f t="shared" si="94"/>
        <v>3</v>
      </c>
      <c r="M120" s="17">
        <f t="shared" si="94"/>
        <v>81</v>
      </c>
      <c r="N120" s="17">
        <f t="shared" si="94"/>
        <v>1</v>
      </c>
      <c r="O120" s="17">
        <f t="shared" si="94"/>
        <v>1</v>
      </c>
      <c r="P120" s="17">
        <f t="shared" si="94"/>
        <v>1</v>
      </c>
      <c r="Q120" s="17">
        <f t="shared" si="94"/>
        <v>3</v>
      </c>
      <c r="R120" s="17">
        <f t="shared" si="94"/>
        <v>3</v>
      </c>
      <c r="S120" s="17">
        <f t="shared" si="94"/>
        <v>1</v>
      </c>
      <c r="T120" s="17">
        <f t="shared" si="94"/>
        <v>1</v>
      </c>
      <c r="U120" s="17">
        <f t="shared" si="94"/>
        <v>1</v>
      </c>
      <c r="V120" s="17">
        <f aca="true" t="shared" si="95" ref="V120:AF120">IF(V79="",V79,$C$6^(V79-1))</f>
        <v>1</v>
      </c>
      <c r="W120" s="17">
        <f t="shared" si="95"/>
        <v>3</v>
      </c>
      <c r="X120" s="17">
        <f t="shared" si="95"/>
        <v>3</v>
      </c>
      <c r="Y120" s="17">
        <f t="shared" si="95"/>
        <v>1</v>
      </c>
      <c r="Z120" s="17">
        <f t="shared" si="95"/>
        <v>1</v>
      </c>
      <c r="AA120" s="17">
        <f t="shared" si="95"/>
        <v>1</v>
      </c>
      <c r="AB120" s="17">
        <f t="shared" si="95"/>
        <v>1</v>
      </c>
      <c r="AC120" s="17">
        <f t="shared" si="95"/>
        <v>3</v>
      </c>
      <c r="AD120" s="17">
        <f t="shared" si="95"/>
        <v>1</v>
      </c>
      <c r="AE120" s="17">
        <f t="shared" si="95"/>
        <v>1</v>
      </c>
      <c r="AF120" s="17">
        <f t="shared" si="95"/>
        <v>3</v>
      </c>
    </row>
    <row r="121" spans="4:32" ht="12.75">
      <c r="D121" s="9" t="s">
        <v>20</v>
      </c>
      <c r="E121" s="25">
        <f t="shared" si="63"/>
        <v>0</v>
      </c>
      <c r="F121" s="17">
        <f aca="true" t="shared" si="96" ref="F121:U121">IF(F80="",F80,$C$6^(F80-1))</f>
      </c>
      <c r="G121" s="17">
        <f t="shared" si="96"/>
      </c>
      <c r="H121" s="17">
        <f t="shared" si="96"/>
      </c>
      <c r="I121" s="17">
        <f t="shared" si="96"/>
      </c>
      <c r="J121" s="17">
        <f t="shared" si="96"/>
      </c>
      <c r="K121" s="17">
        <f t="shared" si="96"/>
      </c>
      <c r="L121" s="17">
        <f t="shared" si="96"/>
      </c>
      <c r="M121" s="17">
        <f t="shared" si="96"/>
      </c>
      <c r="N121" s="17">
        <f t="shared" si="96"/>
      </c>
      <c r="O121" s="17">
        <f t="shared" si="96"/>
      </c>
      <c r="P121" s="17">
        <f t="shared" si="96"/>
      </c>
      <c r="Q121" s="17">
        <f t="shared" si="96"/>
      </c>
      <c r="R121" s="17">
        <f t="shared" si="96"/>
      </c>
      <c r="S121" s="17">
        <f t="shared" si="96"/>
      </c>
      <c r="T121" s="17">
        <f t="shared" si="96"/>
      </c>
      <c r="U121" s="17">
        <f t="shared" si="96"/>
      </c>
      <c r="V121" s="17">
        <f aca="true" t="shared" si="97" ref="V121:AF121">IF(V80="",V80,$C$6^(V80-1))</f>
      </c>
      <c r="W121" s="17">
        <f t="shared" si="97"/>
      </c>
      <c r="X121" s="17">
        <f t="shared" si="97"/>
      </c>
      <c r="Y121" s="17">
        <f t="shared" si="97"/>
      </c>
      <c r="Z121" s="17">
        <f t="shared" si="97"/>
      </c>
      <c r="AA121" s="17">
        <f t="shared" si="97"/>
      </c>
      <c r="AB121" s="17">
        <f t="shared" si="97"/>
      </c>
      <c r="AC121" s="17">
        <f t="shared" si="97"/>
      </c>
      <c r="AD121" s="17">
        <f t="shared" si="97"/>
      </c>
      <c r="AE121" s="17">
        <f t="shared" si="97"/>
      </c>
      <c r="AF121" s="17">
        <f t="shared" si="97"/>
      </c>
    </row>
    <row r="122" spans="4:32" ht="12.75">
      <c r="D122" s="7" t="s">
        <v>21</v>
      </c>
      <c r="E122" s="25">
        <f t="shared" si="63"/>
        <v>0.25</v>
      </c>
      <c r="F122" s="17">
        <f aca="true" t="shared" si="98" ref="F122:U122">IF(F81="",F81,$C$6^(F81-1))</f>
        <v>3</v>
      </c>
      <c r="G122" s="17">
        <f t="shared" si="98"/>
        <v>3</v>
      </c>
      <c r="H122" s="17">
        <f t="shared" si="98"/>
        <v>3</v>
      </c>
      <c r="I122" s="17">
        <f t="shared" si="98"/>
        <v>3</v>
      </c>
      <c r="J122" s="17">
        <f t="shared" si="98"/>
        <v>3</v>
      </c>
      <c r="K122" s="17">
        <f t="shared" si="98"/>
        <v>3</v>
      </c>
      <c r="L122" s="17">
        <f t="shared" si="98"/>
      </c>
      <c r="M122" s="17">
        <f t="shared" si="98"/>
      </c>
      <c r="N122" s="17">
        <f t="shared" si="98"/>
        <v>3</v>
      </c>
      <c r="O122" s="17">
        <f t="shared" si="98"/>
        <v>3</v>
      </c>
      <c r="P122" s="17">
        <f t="shared" si="98"/>
        <v>3</v>
      </c>
      <c r="Q122" s="17">
        <f t="shared" si="98"/>
        <v>3</v>
      </c>
      <c r="R122" s="17">
        <f t="shared" si="98"/>
        <v>3</v>
      </c>
      <c r="S122" s="17">
        <f t="shared" si="98"/>
      </c>
      <c r="T122" s="17">
        <f t="shared" si="98"/>
      </c>
      <c r="U122" s="17">
        <f t="shared" si="98"/>
      </c>
      <c r="V122" s="17">
        <f aca="true" t="shared" si="99" ref="V122:AF122">IF(V81="",V81,$C$6^(V81-1))</f>
      </c>
      <c r="W122" s="17">
        <f t="shared" si="99"/>
      </c>
      <c r="X122" s="17">
        <f t="shared" si="99"/>
      </c>
      <c r="Y122" s="17">
        <f t="shared" si="99"/>
      </c>
      <c r="Z122" s="17">
        <f t="shared" si="99"/>
      </c>
      <c r="AA122" s="17">
        <f t="shared" si="99"/>
      </c>
      <c r="AB122" s="17">
        <f t="shared" si="99"/>
      </c>
      <c r="AC122" s="17">
        <f t="shared" si="99"/>
      </c>
      <c r="AD122" s="17">
        <f t="shared" si="99"/>
      </c>
      <c r="AE122" s="17">
        <f t="shared" si="99"/>
      </c>
      <c r="AF122" s="17">
        <f t="shared" si="99"/>
      </c>
    </row>
    <row r="123" spans="4:32" ht="12.75">
      <c r="D123" s="9" t="s">
        <v>22</v>
      </c>
      <c r="E123" s="25">
        <f t="shared" si="63"/>
        <v>0.25</v>
      </c>
      <c r="F123" s="17">
        <f aca="true" t="shared" si="100" ref="F123:U123">IF(F82="",F82,$C$6^(F82-1))</f>
        <v>3</v>
      </c>
      <c r="G123" s="17">
        <f t="shared" si="100"/>
        <v>3</v>
      </c>
      <c r="H123" s="17">
        <f t="shared" si="100"/>
        <v>3</v>
      </c>
      <c r="I123" s="17">
        <f t="shared" si="100"/>
        <v>3</v>
      </c>
      <c r="J123" s="17">
        <f t="shared" si="100"/>
        <v>81</v>
      </c>
      <c r="K123" s="17">
        <f t="shared" si="100"/>
        <v>3</v>
      </c>
      <c r="L123" s="17">
        <f t="shared" si="100"/>
      </c>
      <c r="M123" s="17">
        <f t="shared" si="100"/>
      </c>
      <c r="N123" s="17">
        <f t="shared" si="100"/>
        <v>3</v>
      </c>
      <c r="O123" s="17">
        <f t="shared" si="100"/>
        <v>3</v>
      </c>
      <c r="P123" s="17">
        <f t="shared" si="100"/>
        <v>3</v>
      </c>
      <c r="Q123" s="17">
        <f t="shared" si="100"/>
        <v>3</v>
      </c>
      <c r="R123" s="17">
        <f t="shared" si="100"/>
        <v>3</v>
      </c>
      <c r="S123" s="17">
        <f t="shared" si="100"/>
      </c>
      <c r="T123" s="17">
        <f t="shared" si="100"/>
      </c>
      <c r="U123" s="17">
        <f t="shared" si="100"/>
      </c>
      <c r="V123" s="17">
        <f aca="true" t="shared" si="101" ref="V123:AF123">IF(V82="",V82,$C$6^(V82-1))</f>
      </c>
      <c r="W123" s="17">
        <f t="shared" si="101"/>
      </c>
      <c r="X123" s="17">
        <f t="shared" si="101"/>
      </c>
      <c r="Y123" s="17">
        <f t="shared" si="101"/>
      </c>
      <c r="Z123" s="17">
        <f t="shared" si="101"/>
      </c>
      <c r="AA123" s="17">
        <f t="shared" si="101"/>
      </c>
      <c r="AB123" s="17">
        <f t="shared" si="101"/>
      </c>
      <c r="AC123" s="17">
        <f t="shared" si="101"/>
      </c>
      <c r="AD123" s="17">
        <f t="shared" si="101"/>
      </c>
      <c r="AE123" s="17">
        <f t="shared" si="101"/>
      </c>
      <c r="AF123" s="17">
        <f t="shared" si="101"/>
      </c>
    </row>
    <row r="124" spans="4:32" ht="12.75">
      <c r="D124" s="9" t="s">
        <v>23</v>
      </c>
      <c r="E124" s="25">
        <f t="shared" si="63"/>
        <v>0.25</v>
      </c>
      <c r="F124" s="17">
        <f aca="true" t="shared" si="102" ref="F124:U124">IF(F83="",F83,$C$6^(F83-1))</f>
        <v>3</v>
      </c>
      <c r="G124" s="17">
        <f t="shared" si="102"/>
        <v>3</v>
      </c>
      <c r="H124" s="17">
        <f t="shared" si="102"/>
        <v>3</v>
      </c>
      <c r="I124" s="17">
        <f t="shared" si="102"/>
        <v>3</v>
      </c>
      <c r="J124" s="17">
        <f t="shared" si="102"/>
        <v>81</v>
      </c>
      <c r="K124" s="17">
        <f t="shared" si="102"/>
        <v>81</v>
      </c>
      <c r="L124" s="17">
        <f t="shared" si="102"/>
      </c>
      <c r="M124" s="17">
        <f t="shared" si="102"/>
      </c>
      <c r="N124" s="17">
        <f t="shared" si="102"/>
        <v>3</v>
      </c>
      <c r="O124" s="17">
        <f t="shared" si="102"/>
        <v>3</v>
      </c>
      <c r="P124" s="17">
        <f t="shared" si="102"/>
        <v>3</v>
      </c>
      <c r="Q124" s="17">
        <f t="shared" si="102"/>
        <v>3</v>
      </c>
      <c r="R124" s="17">
        <f t="shared" si="102"/>
        <v>81</v>
      </c>
      <c r="S124" s="17">
        <f t="shared" si="102"/>
      </c>
      <c r="T124" s="17">
        <f t="shared" si="102"/>
      </c>
      <c r="U124" s="17">
        <f t="shared" si="102"/>
      </c>
      <c r="V124" s="17">
        <f aca="true" t="shared" si="103" ref="V124:AF124">IF(V83="",V83,$C$6^(V83-1))</f>
      </c>
      <c r="W124" s="17">
        <f t="shared" si="103"/>
      </c>
      <c r="X124" s="17">
        <f t="shared" si="103"/>
      </c>
      <c r="Y124" s="17">
        <f t="shared" si="103"/>
      </c>
      <c r="Z124" s="17">
        <f t="shared" si="103"/>
      </c>
      <c r="AA124" s="17">
        <f t="shared" si="103"/>
      </c>
      <c r="AB124" s="17">
        <f t="shared" si="103"/>
      </c>
      <c r="AC124" s="17">
        <f t="shared" si="103"/>
      </c>
      <c r="AD124" s="17">
        <f t="shared" si="103"/>
      </c>
      <c r="AE124" s="17">
        <f t="shared" si="103"/>
      </c>
      <c r="AF124" s="17">
        <f t="shared" si="103"/>
      </c>
    </row>
    <row r="125" spans="4:32" ht="12.75">
      <c r="D125" s="9" t="s">
        <v>24</v>
      </c>
      <c r="E125" s="25">
        <f t="shared" si="63"/>
        <v>0.25</v>
      </c>
      <c r="F125" s="17">
        <f aca="true" t="shared" si="104" ref="F125:U125">IF(F84="",F84,$C$6^(F84-1))</f>
        <v>3</v>
      </c>
      <c r="G125" s="17">
        <f t="shared" si="104"/>
        <v>3</v>
      </c>
      <c r="H125" s="17">
        <f t="shared" si="104"/>
        <v>3</v>
      </c>
      <c r="I125" s="17">
        <f t="shared" si="104"/>
        <v>81</v>
      </c>
      <c r="J125" s="17">
        <f t="shared" si="104"/>
        <v>81</v>
      </c>
      <c r="K125" s="17">
        <f t="shared" si="104"/>
        <v>81</v>
      </c>
      <c r="L125" s="17">
        <f t="shared" si="104"/>
      </c>
      <c r="M125" s="17">
        <f t="shared" si="104"/>
      </c>
      <c r="N125" s="17">
        <f t="shared" si="104"/>
        <v>3</v>
      </c>
      <c r="O125" s="17">
        <f t="shared" si="104"/>
        <v>3</v>
      </c>
      <c r="P125" s="17">
        <f t="shared" si="104"/>
        <v>3</v>
      </c>
      <c r="Q125" s="17">
        <f t="shared" si="104"/>
        <v>3</v>
      </c>
      <c r="R125" s="17">
        <f t="shared" si="104"/>
        <v>3</v>
      </c>
      <c r="S125" s="17">
        <f t="shared" si="104"/>
      </c>
      <c r="T125" s="17">
        <f t="shared" si="104"/>
      </c>
      <c r="U125" s="17">
        <f t="shared" si="104"/>
      </c>
      <c r="V125" s="17">
        <f aca="true" t="shared" si="105" ref="V125:AF125">IF(V84="",V84,$C$6^(V84-1))</f>
      </c>
      <c r="W125" s="17">
        <f t="shared" si="105"/>
      </c>
      <c r="X125" s="17">
        <f t="shared" si="105"/>
      </c>
      <c r="Y125" s="17">
        <f t="shared" si="105"/>
      </c>
      <c r="Z125" s="17">
        <f t="shared" si="105"/>
      </c>
      <c r="AA125" s="17">
        <f t="shared" si="105"/>
      </c>
      <c r="AB125" s="17">
        <f t="shared" si="105"/>
      </c>
      <c r="AC125" s="17">
        <f t="shared" si="105"/>
      </c>
      <c r="AD125" s="17">
        <f t="shared" si="105"/>
      </c>
      <c r="AE125" s="17">
        <f t="shared" si="105"/>
      </c>
      <c r="AF125" s="17">
        <f t="shared" si="105"/>
      </c>
    </row>
    <row r="126" spans="4:32" ht="12.75">
      <c r="D126" s="27"/>
      <c r="E126" s="25">
        <f t="shared" si="63"/>
        <v>0</v>
      </c>
      <c r="F126" s="17">
        <f aca="true" t="shared" si="106" ref="F126:U126">IF(F85="",F85,$C$6^(F85-1))</f>
      </c>
      <c r="G126" s="17">
        <f t="shared" si="106"/>
      </c>
      <c r="H126" s="17">
        <f t="shared" si="106"/>
      </c>
      <c r="I126" s="17">
        <f t="shared" si="106"/>
      </c>
      <c r="J126" s="17">
        <f t="shared" si="106"/>
      </c>
      <c r="K126" s="17">
        <f t="shared" si="106"/>
      </c>
      <c r="L126" s="17">
        <f t="shared" si="106"/>
      </c>
      <c r="M126" s="17">
        <f t="shared" si="106"/>
      </c>
      <c r="N126" s="17">
        <f t="shared" si="106"/>
      </c>
      <c r="O126" s="17">
        <f t="shared" si="106"/>
      </c>
      <c r="P126" s="17">
        <f t="shared" si="106"/>
      </c>
      <c r="Q126" s="17">
        <f t="shared" si="106"/>
      </c>
      <c r="R126" s="17">
        <f t="shared" si="106"/>
      </c>
      <c r="S126" s="17">
        <f t="shared" si="106"/>
      </c>
      <c r="T126" s="17">
        <f t="shared" si="106"/>
      </c>
      <c r="U126" s="17">
        <f t="shared" si="106"/>
      </c>
      <c r="V126" s="17">
        <f aca="true" t="shared" si="107" ref="V126:AF126">IF(V85="",V85,$C$6^(V85-1))</f>
      </c>
      <c r="W126" s="17">
        <f t="shared" si="107"/>
      </c>
      <c r="X126" s="17">
        <f t="shared" si="107"/>
      </c>
      <c r="Y126" s="17">
        <f t="shared" si="107"/>
      </c>
      <c r="Z126" s="17">
        <f t="shared" si="107"/>
      </c>
      <c r="AA126" s="17">
        <f t="shared" si="107"/>
      </c>
      <c r="AB126" s="17">
        <f t="shared" si="107"/>
      </c>
      <c r="AC126" s="17">
        <f t="shared" si="107"/>
      </c>
      <c r="AD126" s="17">
        <f t="shared" si="107"/>
      </c>
      <c r="AE126" s="17">
        <f t="shared" si="107"/>
      </c>
      <c r="AF126" s="17">
        <f t="shared" si="107"/>
      </c>
    </row>
    <row r="127" spans="4:32" ht="12.75">
      <c r="D127" s="9" t="s">
        <v>28</v>
      </c>
      <c r="E127" s="25">
        <f t="shared" si="63"/>
        <v>0.026</v>
      </c>
      <c r="F127" s="17">
        <f aca="true" t="shared" si="108" ref="F127:U127">IF(F86="",F86,$C$6^(F86-1))</f>
      </c>
      <c r="G127" s="17">
        <f t="shared" si="108"/>
      </c>
      <c r="H127" s="17">
        <f t="shared" si="108"/>
        <v>81</v>
      </c>
      <c r="I127" s="17">
        <f t="shared" si="108"/>
        <v>81</v>
      </c>
      <c r="J127" s="17">
        <f t="shared" si="108"/>
        <v>81</v>
      </c>
      <c r="K127" s="17">
        <f t="shared" si="108"/>
        <v>81</v>
      </c>
      <c r="L127" s="17">
        <f t="shared" si="108"/>
      </c>
      <c r="M127" s="17">
        <f t="shared" si="108"/>
      </c>
      <c r="N127" s="17">
        <f t="shared" si="108"/>
        <v>3</v>
      </c>
      <c r="O127" s="17">
        <f t="shared" si="108"/>
        <v>81</v>
      </c>
      <c r="P127" s="17">
        <f t="shared" si="108"/>
      </c>
      <c r="Q127" s="17">
        <f t="shared" si="108"/>
      </c>
      <c r="R127" s="17">
        <f t="shared" si="108"/>
        <v>81</v>
      </c>
      <c r="S127" s="17">
        <f t="shared" si="108"/>
      </c>
      <c r="T127" s="17">
        <f t="shared" si="108"/>
      </c>
      <c r="U127" s="17">
        <f t="shared" si="108"/>
      </c>
      <c r="V127" s="17">
        <f aca="true" t="shared" si="109" ref="V127:AF127">IF(V86="",V86,$C$6^(V86-1))</f>
      </c>
      <c r="W127" s="17">
        <f t="shared" si="109"/>
      </c>
      <c r="X127" s="17">
        <f t="shared" si="109"/>
      </c>
      <c r="Y127" s="17">
        <f t="shared" si="109"/>
      </c>
      <c r="Z127" s="17">
        <f t="shared" si="109"/>
      </c>
      <c r="AA127" s="17">
        <f t="shared" si="109"/>
      </c>
      <c r="AB127" s="17">
        <f t="shared" si="109"/>
      </c>
      <c r="AC127" s="17">
        <f t="shared" si="109"/>
      </c>
      <c r="AD127" s="17">
        <f t="shared" si="109"/>
      </c>
      <c r="AE127" s="17">
        <f t="shared" si="109"/>
      </c>
      <c r="AF127" s="17">
        <f t="shared" si="109"/>
      </c>
    </row>
    <row r="128" spans="4:32" ht="12.75">
      <c r="D128" s="9" t="s">
        <v>29</v>
      </c>
      <c r="E128" s="25">
        <f t="shared" si="63"/>
        <v>0.026</v>
      </c>
      <c r="F128" s="17">
        <f aca="true" t="shared" si="110" ref="F128:U128">IF(F87="",F87,$C$6^(F87-1))</f>
      </c>
      <c r="G128" s="17">
        <f t="shared" si="110"/>
      </c>
      <c r="H128" s="17">
        <f t="shared" si="110"/>
        <v>81</v>
      </c>
      <c r="I128" s="17">
        <f t="shared" si="110"/>
        <v>81</v>
      </c>
      <c r="J128" s="17">
        <f t="shared" si="110"/>
        <v>3</v>
      </c>
      <c r="K128" s="17">
        <f t="shared" si="110"/>
        <v>81</v>
      </c>
      <c r="L128" s="17">
        <f t="shared" si="110"/>
      </c>
      <c r="M128" s="17">
        <f t="shared" si="110"/>
      </c>
      <c r="N128" s="17">
        <f t="shared" si="110"/>
        <v>3</v>
      </c>
      <c r="O128" s="17">
        <f t="shared" si="110"/>
        <v>3</v>
      </c>
      <c r="P128" s="17">
        <f t="shared" si="110"/>
      </c>
      <c r="Q128" s="17">
        <f t="shared" si="110"/>
      </c>
      <c r="R128" s="17">
        <f t="shared" si="110"/>
        <v>81</v>
      </c>
      <c r="S128" s="17">
        <f t="shared" si="110"/>
      </c>
      <c r="T128" s="17">
        <f t="shared" si="110"/>
      </c>
      <c r="U128" s="17">
        <f t="shared" si="110"/>
      </c>
      <c r="V128" s="17">
        <f aca="true" t="shared" si="111" ref="V128:AF128">IF(V87="",V87,$C$6^(V87-1))</f>
      </c>
      <c r="W128" s="17">
        <f t="shared" si="111"/>
      </c>
      <c r="X128" s="17">
        <f t="shared" si="111"/>
      </c>
      <c r="Y128" s="17">
        <f t="shared" si="111"/>
      </c>
      <c r="Z128" s="17">
        <f t="shared" si="111"/>
      </c>
      <c r="AA128" s="17">
        <f t="shared" si="111"/>
      </c>
      <c r="AB128" s="17">
        <f t="shared" si="111"/>
      </c>
      <c r="AC128" s="17">
        <f t="shared" si="111"/>
      </c>
      <c r="AD128" s="17">
        <f t="shared" si="111"/>
      </c>
      <c r="AE128" s="17">
        <f t="shared" si="111"/>
      </c>
      <c r="AF128" s="17">
        <f t="shared" si="111"/>
      </c>
    </row>
    <row r="129" spans="4:32" ht="12.75">
      <c r="D129" s="9" t="s">
        <v>30</v>
      </c>
      <c r="E129" s="25">
        <f t="shared" si="63"/>
        <v>0.026</v>
      </c>
      <c r="F129" s="17">
        <f aca="true" t="shared" si="112" ref="F129:U129">IF(F88="",F88,$C$6^(F88-1))</f>
      </c>
      <c r="G129" s="17">
        <f t="shared" si="112"/>
      </c>
      <c r="H129" s="17">
        <f t="shared" si="112"/>
        <v>81</v>
      </c>
      <c r="I129" s="17">
        <f t="shared" si="112"/>
        <v>81</v>
      </c>
      <c r="J129" s="17">
        <f t="shared" si="112"/>
        <v>3</v>
      </c>
      <c r="K129" s="17">
        <f t="shared" si="112"/>
        <v>3</v>
      </c>
      <c r="L129" s="17">
        <f t="shared" si="112"/>
      </c>
      <c r="M129" s="17">
        <f t="shared" si="112"/>
      </c>
      <c r="N129" s="17">
        <f t="shared" si="112"/>
        <v>3</v>
      </c>
      <c r="O129" s="17">
        <f t="shared" si="112"/>
        <v>3</v>
      </c>
      <c r="P129" s="17">
        <f t="shared" si="112"/>
      </c>
      <c r="Q129" s="17">
        <f t="shared" si="112"/>
      </c>
      <c r="R129" s="17">
        <f t="shared" si="112"/>
        <v>81</v>
      </c>
      <c r="S129" s="17">
        <f t="shared" si="112"/>
      </c>
      <c r="T129" s="17">
        <f t="shared" si="112"/>
      </c>
      <c r="U129" s="17">
        <f t="shared" si="112"/>
      </c>
      <c r="V129" s="17">
        <f aca="true" t="shared" si="113" ref="V129:AF129">IF(V88="",V88,$C$6^(V88-1))</f>
      </c>
      <c r="W129" s="17">
        <f t="shared" si="113"/>
      </c>
      <c r="X129" s="17">
        <f t="shared" si="113"/>
      </c>
      <c r="Y129" s="17">
        <f t="shared" si="113"/>
      </c>
      <c r="Z129" s="17">
        <f t="shared" si="113"/>
      </c>
      <c r="AA129" s="17">
        <f t="shared" si="113"/>
      </c>
      <c r="AB129" s="17">
        <f t="shared" si="113"/>
      </c>
      <c r="AC129" s="17">
        <f t="shared" si="113"/>
      </c>
      <c r="AD129" s="17">
        <f t="shared" si="113"/>
      </c>
      <c r="AE129" s="17">
        <f t="shared" si="113"/>
      </c>
      <c r="AF129" s="17">
        <f t="shared" si="113"/>
      </c>
    </row>
    <row r="130" spans="4:32" ht="12.75">
      <c r="D130" s="10" t="s">
        <v>31</v>
      </c>
      <c r="E130" s="25">
        <f t="shared" si="63"/>
        <v>0.078</v>
      </c>
      <c r="F130" s="17">
        <f aca="true" t="shared" si="114" ref="F130:U130">IF(F89="",F89,$C$6^(F89-1))</f>
      </c>
      <c r="G130" s="17">
        <f t="shared" si="114"/>
      </c>
      <c r="H130" s="17">
        <f t="shared" si="114"/>
        <v>3</v>
      </c>
      <c r="I130" s="17">
        <f t="shared" si="114"/>
        <v>81</v>
      </c>
      <c r="J130" s="17">
        <f t="shared" si="114"/>
        <v>3</v>
      </c>
      <c r="K130" s="17">
        <f t="shared" si="114"/>
        <v>3</v>
      </c>
      <c r="L130" s="17">
        <f t="shared" si="114"/>
      </c>
      <c r="M130" s="17">
        <f t="shared" si="114"/>
      </c>
      <c r="N130" s="17">
        <f t="shared" si="114"/>
        <v>3</v>
      </c>
      <c r="O130" s="17">
        <f t="shared" si="114"/>
        <v>3</v>
      </c>
      <c r="P130" s="17">
        <f t="shared" si="114"/>
      </c>
      <c r="Q130" s="17">
        <f t="shared" si="114"/>
      </c>
      <c r="R130" s="17">
        <f t="shared" si="114"/>
        <v>81</v>
      </c>
      <c r="S130" s="17">
        <f t="shared" si="114"/>
      </c>
      <c r="T130" s="17">
        <f t="shared" si="114"/>
      </c>
      <c r="U130" s="17">
        <f t="shared" si="114"/>
      </c>
      <c r="V130" s="17">
        <f aca="true" t="shared" si="115" ref="V130:AF130">IF(V89="",V89,$C$6^(V89-1))</f>
      </c>
      <c r="W130" s="17">
        <f t="shared" si="115"/>
      </c>
      <c r="X130" s="17">
        <f t="shared" si="115"/>
      </c>
      <c r="Y130" s="17">
        <f t="shared" si="115"/>
      </c>
      <c r="Z130" s="17">
        <f t="shared" si="115"/>
      </c>
      <c r="AA130" s="17">
        <f t="shared" si="115"/>
      </c>
      <c r="AB130" s="17">
        <f t="shared" si="115"/>
      </c>
      <c r="AC130" s="17">
        <f t="shared" si="115"/>
      </c>
      <c r="AD130" s="17">
        <f t="shared" si="115"/>
      </c>
      <c r="AE130" s="17">
        <f t="shared" si="115"/>
      </c>
      <c r="AF130" s="17">
        <f t="shared" si="115"/>
      </c>
    </row>
    <row r="131" spans="4:32" ht="12.75">
      <c r="D131" s="9" t="s">
        <v>32</v>
      </c>
      <c r="E131" s="25">
        <f t="shared" si="63"/>
        <v>0.026</v>
      </c>
      <c r="F131" s="17">
        <f aca="true" t="shared" si="116" ref="F131:U131">IF(F90="",F90,$C$6^(F90-1))</f>
      </c>
      <c r="G131" s="17">
        <f t="shared" si="116"/>
      </c>
      <c r="H131" s="17">
        <f t="shared" si="116"/>
        <v>3</v>
      </c>
      <c r="I131" s="17">
        <f t="shared" si="116"/>
        <v>3</v>
      </c>
      <c r="J131" s="17">
        <f t="shared" si="116"/>
        <v>3</v>
      </c>
      <c r="K131" s="17">
        <f t="shared" si="116"/>
        <v>3</v>
      </c>
      <c r="L131" s="17">
        <f t="shared" si="116"/>
      </c>
      <c r="M131" s="17">
        <f t="shared" si="116"/>
      </c>
      <c r="N131" s="17">
        <f t="shared" si="116"/>
        <v>3</v>
      </c>
      <c r="O131" s="17">
        <f t="shared" si="116"/>
        <v>81</v>
      </c>
      <c r="P131" s="17">
        <f t="shared" si="116"/>
      </c>
      <c r="Q131" s="17">
        <f t="shared" si="116"/>
      </c>
      <c r="R131" s="17">
        <f t="shared" si="116"/>
        <v>81</v>
      </c>
      <c r="S131" s="17">
        <f t="shared" si="116"/>
      </c>
      <c r="T131" s="17">
        <f t="shared" si="116"/>
      </c>
      <c r="U131" s="17">
        <f t="shared" si="116"/>
      </c>
      <c r="V131" s="17">
        <f aca="true" t="shared" si="117" ref="V131:AF131">IF(V90="",V90,$C$6^(V90-1))</f>
      </c>
      <c r="W131" s="17">
        <f t="shared" si="117"/>
      </c>
      <c r="X131" s="17">
        <f t="shared" si="117"/>
      </c>
      <c r="Y131" s="17">
        <f t="shared" si="117"/>
      </c>
      <c r="Z131" s="17">
        <f t="shared" si="117"/>
      </c>
      <c r="AA131" s="17">
        <f t="shared" si="117"/>
      </c>
      <c r="AB131" s="17">
        <f t="shared" si="117"/>
      </c>
      <c r="AC131" s="17">
        <f t="shared" si="117"/>
      </c>
      <c r="AD131" s="17">
        <f t="shared" si="117"/>
      </c>
      <c r="AE131" s="17">
        <f t="shared" si="117"/>
      </c>
      <c r="AF131" s="17">
        <f t="shared" si="117"/>
      </c>
    </row>
    <row r="132" spans="4:32" ht="12.75">
      <c r="D132" s="9" t="s">
        <v>33</v>
      </c>
      <c r="E132" s="25">
        <f t="shared" si="63"/>
        <v>0.026</v>
      </c>
      <c r="F132" s="17">
        <f aca="true" t="shared" si="118" ref="F132:U132">IF(F91="",F91,$C$6^(F91-1))</f>
      </c>
      <c r="G132" s="17">
        <f t="shared" si="118"/>
      </c>
      <c r="H132" s="17">
        <f t="shared" si="118"/>
        <v>3</v>
      </c>
      <c r="I132" s="17">
        <f t="shared" si="118"/>
        <v>3</v>
      </c>
      <c r="J132" s="17">
        <f t="shared" si="118"/>
        <v>3</v>
      </c>
      <c r="K132" s="17">
        <f t="shared" si="118"/>
        <v>3</v>
      </c>
      <c r="L132" s="17">
        <f t="shared" si="118"/>
      </c>
      <c r="M132" s="17">
        <f t="shared" si="118"/>
      </c>
      <c r="N132" s="17">
        <f t="shared" si="118"/>
        <v>3</v>
      </c>
      <c r="O132" s="17">
        <f t="shared" si="118"/>
        <v>81</v>
      </c>
      <c r="P132" s="17">
        <f t="shared" si="118"/>
      </c>
      <c r="Q132" s="17">
        <f t="shared" si="118"/>
      </c>
      <c r="R132" s="17">
        <f t="shared" si="118"/>
        <v>81</v>
      </c>
      <c r="S132" s="17">
        <f t="shared" si="118"/>
      </c>
      <c r="T132" s="17">
        <f t="shared" si="118"/>
      </c>
      <c r="U132" s="17">
        <f t="shared" si="118"/>
      </c>
      <c r="V132" s="17">
        <f aca="true" t="shared" si="119" ref="V132:AF132">IF(V91="",V91,$C$6^(V91-1))</f>
      </c>
      <c r="W132" s="17">
        <f t="shared" si="119"/>
      </c>
      <c r="X132" s="17">
        <f t="shared" si="119"/>
      </c>
      <c r="Y132" s="17">
        <f t="shared" si="119"/>
      </c>
      <c r="Z132" s="17">
        <f t="shared" si="119"/>
      </c>
      <c r="AA132" s="17">
        <f t="shared" si="119"/>
      </c>
      <c r="AB132" s="17">
        <f t="shared" si="119"/>
      </c>
      <c r="AC132" s="17">
        <f t="shared" si="119"/>
      </c>
      <c r="AD132" s="17">
        <f t="shared" si="119"/>
      </c>
      <c r="AE132" s="17">
        <f t="shared" si="119"/>
      </c>
      <c r="AF132" s="17">
        <f t="shared" si="119"/>
      </c>
    </row>
    <row r="133" spans="4:32" ht="12.75">
      <c r="D133" s="9" t="s">
        <v>34</v>
      </c>
      <c r="E133" s="25">
        <f t="shared" si="63"/>
        <v>0.026</v>
      </c>
      <c r="F133" s="17">
        <f aca="true" t="shared" si="120" ref="F133:U133">IF(F92="",F92,$C$6^(F92-1))</f>
      </c>
      <c r="G133" s="17">
        <f t="shared" si="120"/>
      </c>
      <c r="H133" s="17">
        <f t="shared" si="120"/>
        <v>3</v>
      </c>
      <c r="I133" s="17">
        <f t="shared" si="120"/>
        <v>3</v>
      </c>
      <c r="J133" s="17">
        <f t="shared" si="120"/>
        <v>3</v>
      </c>
      <c r="K133" s="17">
        <f t="shared" si="120"/>
        <v>3</v>
      </c>
      <c r="L133" s="17">
        <f t="shared" si="120"/>
      </c>
      <c r="M133" s="17">
        <f t="shared" si="120"/>
      </c>
      <c r="N133" s="17">
        <f t="shared" si="120"/>
        <v>3</v>
      </c>
      <c r="O133" s="17">
        <f t="shared" si="120"/>
        <v>3</v>
      </c>
      <c r="P133" s="17">
        <f t="shared" si="120"/>
      </c>
      <c r="Q133" s="17">
        <f t="shared" si="120"/>
      </c>
      <c r="R133" s="17">
        <f t="shared" si="120"/>
        <v>81</v>
      </c>
      <c r="S133" s="17">
        <f t="shared" si="120"/>
      </c>
      <c r="T133" s="17">
        <f t="shared" si="120"/>
      </c>
      <c r="U133" s="17">
        <f t="shared" si="120"/>
      </c>
      <c r="V133" s="17">
        <f aca="true" t="shared" si="121" ref="V133:AF133">IF(V92="",V92,$C$6^(V92-1))</f>
      </c>
      <c r="W133" s="17">
        <f t="shared" si="121"/>
      </c>
      <c r="X133" s="17">
        <f t="shared" si="121"/>
      </c>
      <c r="Y133" s="17">
        <f t="shared" si="121"/>
      </c>
      <c r="Z133" s="17">
        <f t="shared" si="121"/>
      </c>
      <c r="AA133" s="17">
        <f t="shared" si="121"/>
      </c>
      <c r="AB133" s="17">
        <f t="shared" si="121"/>
      </c>
      <c r="AC133" s="17">
        <f t="shared" si="121"/>
      </c>
      <c r="AD133" s="17">
        <f t="shared" si="121"/>
      </c>
      <c r="AE133" s="17">
        <f t="shared" si="121"/>
      </c>
      <c r="AF133" s="17">
        <f t="shared" si="121"/>
      </c>
    </row>
    <row r="134" spans="4:32" ht="12.75">
      <c r="D134" s="9" t="s">
        <v>35</v>
      </c>
      <c r="E134" s="25">
        <f t="shared" si="63"/>
        <v>0.026</v>
      </c>
      <c r="F134" s="17">
        <f aca="true" t="shared" si="122" ref="F134:U134">IF(F93="",F93,$C$6^(F93-1))</f>
      </c>
      <c r="G134" s="17">
        <f t="shared" si="122"/>
      </c>
      <c r="H134" s="17">
        <f t="shared" si="122"/>
        <v>3</v>
      </c>
      <c r="I134" s="17">
        <f t="shared" si="122"/>
        <v>3</v>
      </c>
      <c r="J134" s="17">
        <f t="shared" si="122"/>
        <v>3</v>
      </c>
      <c r="K134" s="17">
        <f t="shared" si="122"/>
        <v>3</v>
      </c>
      <c r="L134" s="17">
        <f t="shared" si="122"/>
      </c>
      <c r="M134" s="17">
        <f t="shared" si="122"/>
      </c>
      <c r="N134" s="17">
        <f t="shared" si="122"/>
        <v>3</v>
      </c>
      <c r="O134" s="17">
        <f t="shared" si="122"/>
        <v>81</v>
      </c>
      <c r="P134" s="17">
        <f t="shared" si="122"/>
      </c>
      <c r="Q134" s="17">
        <f t="shared" si="122"/>
      </c>
      <c r="R134" s="17">
        <f t="shared" si="122"/>
        <v>81</v>
      </c>
      <c r="S134" s="17">
        <f t="shared" si="122"/>
      </c>
      <c r="T134" s="17">
        <f t="shared" si="122"/>
      </c>
      <c r="U134" s="17">
        <f t="shared" si="122"/>
      </c>
      <c r="V134" s="17">
        <f aca="true" t="shared" si="123" ref="V134:AF134">IF(V93="",V93,$C$6^(V93-1))</f>
      </c>
      <c r="W134" s="17">
        <f t="shared" si="123"/>
      </c>
      <c r="X134" s="17">
        <f t="shared" si="123"/>
      </c>
      <c r="Y134" s="17">
        <f t="shared" si="123"/>
      </c>
      <c r="Z134" s="17">
        <f t="shared" si="123"/>
      </c>
      <c r="AA134" s="17">
        <f t="shared" si="123"/>
      </c>
      <c r="AB134" s="17">
        <f t="shared" si="123"/>
      </c>
      <c r="AC134" s="17">
        <f t="shared" si="123"/>
      </c>
      <c r="AD134" s="17">
        <f t="shared" si="123"/>
      </c>
      <c r="AE134" s="17">
        <f t="shared" si="123"/>
      </c>
      <c r="AF134" s="17">
        <f t="shared" si="123"/>
      </c>
    </row>
    <row r="135" spans="4:32" ht="12.75">
      <c r="D135" s="9" t="s">
        <v>36</v>
      </c>
      <c r="E135" s="25">
        <f t="shared" si="63"/>
        <v>0.026</v>
      </c>
      <c r="F135" s="17">
        <f aca="true" t="shared" si="124" ref="F135:U135">IF(F94="",F94,$C$6^(F94-1))</f>
      </c>
      <c r="G135" s="17">
        <f t="shared" si="124"/>
      </c>
      <c r="H135" s="17">
        <f t="shared" si="124"/>
        <v>3</v>
      </c>
      <c r="I135" s="17">
        <f t="shared" si="124"/>
        <v>3</v>
      </c>
      <c r="J135" s="17">
        <f t="shared" si="124"/>
        <v>3</v>
      </c>
      <c r="K135" s="17">
        <f t="shared" si="124"/>
        <v>3</v>
      </c>
      <c r="L135" s="17">
        <f t="shared" si="124"/>
      </c>
      <c r="M135" s="17">
        <f t="shared" si="124"/>
      </c>
      <c r="N135" s="17">
        <f t="shared" si="124"/>
        <v>3</v>
      </c>
      <c r="O135" s="17">
        <f t="shared" si="124"/>
        <v>3</v>
      </c>
      <c r="P135" s="17">
        <f t="shared" si="124"/>
      </c>
      <c r="Q135" s="17">
        <f t="shared" si="124"/>
      </c>
      <c r="R135" s="17">
        <f t="shared" si="124"/>
        <v>81</v>
      </c>
      <c r="S135" s="17">
        <f t="shared" si="124"/>
      </c>
      <c r="T135" s="17">
        <f t="shared" si="124"/>
      </c>
      <c r="U135" s="17">
        <f t="shared" si="124"/>
      </c>
      <c r="V135" s="17">
        <f aca="true" t="shared" si="125" ref="V135:AF135">IF(V94="",V94,$C$6^(V94-1))</f>
      </c>
      <c r="W135" s="17">
        <f t="shared" si="125"/>
      </c>
      <c r="X135" s="17">
        <f t="shared" si="125"/>
      </c>
      <c r="Y135" s="17">
        <f t="shared" si="125"/>
      </c>
      <c r="Z135" s="17">
        <f t="shared" si="125"/>
      </c>
      <c r="AA135" s="17">
        <f t="shared" si="125"/>
      </c>
      <c r="AB135" s="17">
        <f t="shared" si="125"/>
      </c>
      <c r="AC135" s="17">
        <f t="shared" si="125"/>
      </c>
      <c r="AD135" s="17">
        <f t="shared" si="125"/>
      </c>
      <c r="AE135" s="17">
        <f t="shared" si="125"/>
      </c>
      <c r="AF135" s="17">
        <f t="shared" si="125"/>
      </c>
    </row>
    <row r="136" spans="4:32" ht="12.75">
      <c r="D136" s="9" t="s">
        <v>37</v>
      </c>
      <c r="E136" s="25">
        <f t="shared" si="63"/>
        <v>0.026</v>
      </c>
      <c r="F136" s="17">
        <f aca="true" t="shared" si="126" ref="F136:U136">IF(F95="",F95,$C$6^(F95-1))</f>
      </c>
      <c r="G136" s="17">
        <f t="shared" si="126"/>
      </c>
      <c r="H136" s="17">
        <f t="shared" si="126"/>
        <v>3</v>
      </c>
      <c r="I136" s="17">
        <f t="shared" si="126"/>
        <v>3</v>
      </c>
      <c r="J136" s="17">
        <f t="shared" si="126"/>
        <v>3</v>
      </c>
      <c r="K136" s="17">
        <f t="shared" si="126"/>
        <v>3</v>
      </c>
      <c r="L136" s="17">
        <f t="shared" si="126"/>
      </c>
      <c r="M136" s="17">
        <f t="shared" si="126"/>
      </c>
      <c r="N136" s="17">
        <f t="shared" si="126"/>
        <v>3</v>
      </c>
      <c r="O136" s="17">
        <f t="shared" si="126"/>
        <v>3</v>
      </c>
      <c r="P136" s="17">
        <f t="shared" si="126"/>
      </c>
      <c r="Q136" s="17">
        <f t="shared" si="126"/>
      </c>
      <c r="R136" s="17">
        <f t="shared" si="126"/>
        <v>81</v>
      </c>
      <c r="S136" s="17">
        <f t="shared" si="126"/>
      </c>
      <c r="T136" s="17">
        <f t="shared" si="126"/>
      </c>
      <c r="U136" s="17">
        <f t="shared" si="126"/>
      </c>
      <c r="V136" s="17">
        <f aca="true" t="shared" si="127" ref="V136:AF136">IF(V95="",V95,$C$6^(V95-1))</f>
      </c>
      <c r="W136" s="17">
        <f t="shared" si="127"/>
      </c>
      <c r="X136" s="17">
        <f t="shared" si="127"/>
      </c>
      <c r="Y136" s="17">
        <f t="shared" si="127"/>
      </c>
      <c r="Z136" s="17">
        <f t="shared" si="127"/>
      </c>
      <c r="AA136" s="17">
        <f t="shared" si="127"/>
      </c>
      <c r="AB136" s="17">
        <f t="shared" si="127"/>
      </c>
      <c r="AC136" s="17">
        <f t="shared" si="127"/>
      </c>
      <c r="AD136" s="17">
        <f t="shared" si="127"/>
      </c>
      <c r="AE136" s="17">
        <f t="shared" si="127"/>
      </c>
      <c r="AF136" s="17">
        <f t="shared" si="127"/>
      </c>
    </row>
    <row r="137" spans="4:32" ht="12.75">
      <c r="D137" s="9" t="s">
        <v>38</v>
      </c>
      <c r="E137" s="25">
        <f t="shared" si="63"/>
        <v>0.026</v>
      </c>
      <c r="F137" s="17">
        <f aca="true" t="shared" si="128" ref="F137:U137">IF(F96="",F96,$C$6^(F96-1))</f>
      </c>
      <c r="G137" s="17">
        <f t="shared" si="128"/>
      </c>
      <c r="H137" s="17">
        <f t="shared" si="128"/>
        <v>3</v>
      </c>
      <c r="I137" s="17">
        <f t="shared" si="128"/>
        <v>3</v>
      </c>
      <c r="J137" s="17">
        <f t="shared" si="128"/>
        <v>3</v>
      </c>
      <c r="K137" s="17">
        <f t="shared" si="128"/>
        <v>3</v>
      </c>
      <c r="L137" s="17">
        <f t="shared" si="128"/>
      </c>
      <c r="M137" s="17">
        <f t="shared" si="128"/>
      </c>
      <c r="N137" s="17">
        <f t="shared" si="128"/>
        <v>3</v>
      </c>
      <c r="O137" s="17">
        <f t="shared" si="128"/>
        <v>81</v>
      </c>
      <c r="P137" s="17">
        <f t="shared" si="128"/>
      </c>
      <c r="Q137" s="17">
        <f t="shared" si="128"/>
      </c>
      <c r="R137" s="17">
        <f t="shared" si="128"/>
        <v>81</v>
      </c>
      <c r="S137" s="17">
        <f t="shared" si="128"/>
      </c>
      <c r="T137" s="17">
        <f t="shared" si="128"/>
      </c>
      <c r="U137" s="17">
        <f t="shared" si="128"/>
      </c>
      <c r="V137" s="17">
        <f aca="true" t="shared" si="129" ref="V137:AF137">IF(V96="",V96,$C$6^(V96-1))</f>
      </c>
      <c r="W137" s="17">
        <f t="shared" si="129"/>
      </c>
      <c r="X137" s="17">
        <f t="shared" si="129"/>
      </c>
      <c r="Y137" s="17">
        <f t="shared" si="129"/>
      </c>
      <c r="Z137" s="17">
        <f t="shared" si="129"/>
      </c>
      <c r="AA137" s="17">
        <f t="shared" si="129"/>
      </c>
      <c r="AB137" s="17">
        <f t="shared" si="129"/>
      </c>
      <c r="AC137" s="17">
        <f t="shared" si="129"/>
      </c>
      <c r="AD137" s="17">
        <f t="shared" si="129"/>
      </c>
      <c r="AE137" s="17">
        <f t="shared" si="129"/>
      </c>
      <c r="AF137" s="17">
        <f t="shared" si="129"/>
      </c>
    </row>
    <row r="138" spans="4:32" ht="12.75">
      <c r="D138" s="9" t="s">
        <v>39</v>
      </c>
      <c r="E138" s="25">
        <f t="shared" si="63"/>
        <v>0.026</v>
      </c>
      <c r="F138" s="17">
        <f aca="true" t="shared" si="130" ref="F138:U138">IF(F97="",F97,$C$6^(F97-1))</f>
      </c>
      <c r="G138" s="17">
        <f t="shared" si="130"/>
      </c>
      <c r="H138" s="17">
        <f t="shared" si="130"/>
        <v>81</v>
      </c>
      <c r="I138" s="17">
        <f t="shared" si="130"/>
        <v>3</v>
      </c>
      <c r="J138" s="17">
        <f t="shared" si="130"/>
        <v>3</v>
      </c>
      <c r="K138" s="17">
        <f t="shared" si="130"/>
        <v>3</v>
      </c>
      <c r="L138" s="17">
        <f t="shared" si="130"/>
      </c>
      <c r="M138" s="17">
        <f t="shared" si="130"/>
      </c>
      <c r="N138" s="17">
        <f t="shared" si="130"/>
        <v>3</v>
      </c>
      <c r="O138" s="17">
        <f t="shared" si="130"/>
        <v>3</v>
      </c>
      <c r="P138" s="17">
        <f t="shared" si="130"/>
      </c>
      <c r="Q138" s="17">
        <f t="shared" si="130"/>
      </c>
      <c r="R138" s="17">
        <f t="shared" si="130"/>
        <v>81</v>
      </c>
      <c r="S138" s="17">
        <f t="shared" si="130"/>
      </c>
      <c r="T138" s="17">
        <f t="shared" si="130"/>
      </c>
      <c r="U138" s="17">
        <f t="shared" si="130"/>
      </c>
      <c r="V138" s="17">
        <f aca="true" t="shared" si="131" ref="V138:AF138">IF(V97="",V97,$C$6^(V97-1))</f>
      </c>
      <c r="W138" s="17">
        <f t="shared" si="131"/>
      </c>
      <c r="X138" s="17">
        <f t="shared" si="131"/>
      </c>
      <c r="Y138" s="17">
        <f t="shared" si="131"/>
      </c>
      <c r="Z138" s="17">
        <f t="shared" si="131"/>
      </c>
      <c r="AA138" s="17">
        <f t="shared" si="131"/>
      </c>
      <c r="AB138" s="17">
        <f t="shared" si="131"/>
      </c>
      <c r="AC138" s="17">
        <f t="shared" si="131"/>
      </c>
      <c r="AD138" s="17">
        <f t="shared" si="131"/>
      </c>
      <c r="AE138" s="17">
        <f t="shared" si="131"/>
      </c>
      <c r="AF138" s="17">
        <f t="shared" si="131"/>
      </c>
    </row>
    <row r="139" spans="4:32" ht="12.75">
      <c r="D139" s="9" t="s">
        <v>40</v>
      </c>
      <c r="E139" s="25">
        <f t="shared" si="63"/>
        <v>0.026</v>
      </c>
      <c r="F139" s="17">
        <f aca="true" t="shared" si="132" ref="F139:U139">IF(F98="",F98,$C$6^(F98-1))</f>
      </c>
      <c r="G139" s="17">
        <f t="shared" si="132"/>
      </c>
      <c r="H139" s="17">
        <f t="shared" si="132"/>
      </c>
      <c r="I139" s="17">
        <f t="shared" si="132"/>
      </c>
      <c r="J139" s="17">
        <f t="shared" si="132"/>
      </c>
      <c r="K139" s="17">
        <f t="shared" si="132"/>
      </c>
      <c r="L139" s="17">
        <f t="shared" si="132"/>
      </c>
      <c r="M139" s="17">
        <f t="shared" si="132"/>
      </c>
      <c r="N139" s="17">
        <f t="shared" si="132"/>
      </c>
      <c r="O139" s="17">
        <f t="shared" si="132"/>
      </c>
      <c r="P139" s="17">
        <f t="shared" si="132"/>
      </c>
      <c r="Q139" s="17">
        <f t="shared" si="132"/>
      </c>
      <c r="R139" s="17">
        <f t="shared" si="132"/>
      </c>
      <c r="S139" s="17">
        <f t="shared" si="132"/>
      </c>
      <c r="T139" s="17">
        <f t="shared" si="132"/>
      </c>
      <c r="U139" s="17">
        <f t="shared" si="132"/>
      </c>
      <c r="V139" s="17">
        <f aca="true" t="shared" si="133" ref="V139:AF139">IF(V98="",V98,$C$6^(V98-1))</f>
      </c>
      <c r="W139" s="17">
        <f t="shared" si="133"/>
      </c>
      <c r="X139" s="17">
        <f t="shared" si="133"/>
      </c>
      <c r="Y139" s="17">
        <f t="shared" si="133"/>
      </c>
      <c r="Z139" s="17">
        <f t="shared" si="133"/>
      </c>
      <c r="AA139" s="17">
        <f t="shared" si="133"/>
      </c>
      <c r="AB139" s="17">
        <f t="shared" si="133"/>
      </c>
      <c r="AC139" s="17">
        <f t="shared" si="133"/>
      </c>
      <c r="AD139" s="17">
        <f t="shared" si="133"/>
      </c>
      <c r="AE139" s="17">
        <f t="shared" si="133"/>
      </c>
      <c r="AF139" s="17">
        <f t="shared" si="133"/>
      </c>
    </row>
    <row r="140" spans="4:32" ht="12.75">
      <c r="D140" s="9" t="s">
        <v>41</v>
      </c>
      <c r="E140" s="25">
        <f t="shared" si="63"/>
        <v>0.026</v>
      </c>
      <c r="F140" s="17">
        <f aca="true" t="shared" si="134" ref="F140:U140">IF(F99="",F99,$C$6^(F99-1))</f>
      </c>
      <c r="G140" s="17">
        <f t="shared" si="134"/>
      </c>
      <c r="H140" s="17">
        <f t="shared" si="134"/>
        <v>81</v>
      </c>
      <c r="I140" s="17">
        <f t="shared" si="134"/>
        <v>81</v>
      </c>
      <c r="J140" s="17">
        <f t="shared" si="134"/>
        <v>81</v>
      </c>
      <c r="K140" s="17">
        <f t="shared" si="134"/>
        <v>81</v>
      </c>
      <c r="L140" s="17">
        <f t="shared" si="134"/>
      </c>
      <c r="M140" s="17">
        <f t="shared" si="134"/>
      </c>
      <c r="N140" s="17">
        <f t="shared" si="134"/>
        <v>3</v>
      </c>
      <c r="O140" s="17">
        <f t="shared" si="134"/>
        <v>81</v>
      </c>
      <c r="P140" s="17">
        <f t="shared" si="134"/>
      </c>
      <c r="Q140" s="17">
        <f t="shared" si="134"/>
      </c>
      <c r="R140" s="17">
        <f t="shared" si="134"/>
        <v>81</v>
      </c>
      <c r="S140" s="17">
        <f t="shared" si="134"/>
      </c>
      <c r="T140" s="17">
        <f t="shared" si="134"/>
      </c>
      <c r="U140" s="17">
        <f t="shared" si="134"/>
      </c>
      <c r="V140" s="17">
        <f aca="true" t="shared" si="135" ref="V140:AF140">IF(V99="",V99,$C$6^(V99-1))</f>
      </c>
      <c r="W140" s="17">
        <f t="shared" si="135"/>
      </c>
      <c r="X140" s="17">
        <f t="shared" si="135"/>
      </c>
      <c r="Y140" s="17">
        <f t="shared" si="135"/>
      </c>
      <c r="Z140" s="17">
        <f t="shared" si="135"/>
      </c>
      <c r="AA140" s="17">
        <f t="shared" si="135"/>
      </c>
      <c r="AB140" s="17">
        <f t="shared" si="135"/>
      </c>
      <c r="AC140" s="17">
        <f t="shared" si="135"/>
      </c>
      <c r="AD140" s="17">
        <f t="shared" si="135"/>
      </c>
      <c r="AE140" s="17">
        <f t="shared" si="135"/>
      </c>
      <c r="AF140" s="17">
        <f t="shared" si="135"/>
      </c>
    </row>
    <row r="141" spans="4:32" ht="12.75">
      <c r="D141" s="10" t="s">
        <v>42</v>
      </c>
      <c r="E141" s="25">
        <f t="shared" si="63"/>
        <v>0.26</v>
      </c>
      <c r="F141" s="17">
        <f aca="true" t="shared" si="136" ref="F141:U141">IF(F100="",F100,$C$6^(F100-1))</f>
      </c>
      <c r="G141" s="17">
        <f t="shared" si="136"/>
      </c>
      <c r="H141" s="17">
        <f t="shared" si="136"/>
        <v>81</v>
      </c>
      <c r="I141" s="17">
        <f t="shared" si="136"/>
        <v>81</v>
      </c>
      <c r="J141" s="17">
        <f t="shared" si="136"/>
        <v>3</v>
      </c>
      <c r="K141" s="17">
        <f t="shared" si="136"/>
        <v>81</v>
      </c>
      <c r="L141" s="17">
        <f t="shared" si="136"/>
      </c>
      <c r="M141" s="17">
        <f t="shared" si="136"/>
      </c>
      <c r="N141" s="17">
        <f t="shared" si="136"/>
        <v>3</v>
      </c>
      <c r="O141" s="17">
        <f t="shared" si="136"/>
        <v>81</v>
      </c>
      <c r="P141" s="17">
        <f t="shared" si="136"/>
      </c>
      <c r="Q141" s="17">
        <f t="shared" si="136"/>
      </c>
      <c r="R141" s="17">
        <f t="shared" si="136"/>
        <v>81</v>
      </c>
      <c r="S141" s="17">
        <f t="shared" si="136"/>
      </c>
      <c r="T141" s="17">
        <f t="shared" si="136"/>
      </c>
      <c r="U141" s="17">
        <f t="shared" si="136"/>
      </c>
      <c r="V141" s="17">
        <f aca="true" t="shared" si="137" ref="V141:AF141">IF(V100="",V100,$C$6^(V100-1))</f>
      </c>
      <c r="W141" s="17">
        <f t="shared" si="137"/>
      </c>
      <c r="X141" s="17">
        <f t="shared" si="137"/>
      </c>
      <c r="Y141" s="17">
        <f t="shared" si="137"/>
      </c>
      <c r="Z141" s="17">
        <f t="shared" si="137"/>
      </c>
      <c r="AA141" s="17">
        <f t="shared" si="137"/>
      </c>
      <c r="AB141" s="17">
        <f t="shared" si="137"/>
      </c>
      <c r="AC141" s="17">
        <f t="shared" si="137"/>
      </c>
      <c r="AD141" s="17">
        <f t="shared" si="137"/>
      </c>
      <c r="AE141" s="17">
        <f t="shared" si="137"/>
      </c>
      <c r="AF141" s="17">
        <f t="shared" si="137"/>
      </c>
    </row>
    <row r="142" spans="4:32" ht="12.75">
      <c r="D142" s="11" t="s">
        <v>43</v>
      </c>
      <c r="E142" s="25">
        <f t="shared" si="63"/>
        <v>0.338</v>
      </c>
      <c r="F142" s="17">
        <f aca="true" t="shared" si="138" ref="F142:U142">IF(F101="",F101,$C$6^(F101-1))</f>
      </c>
      <c r="G142" s="17">
        <f t="shared" si="138"/>
      </c>
      <c r="H142" s="17">
        <f t="shared" si="138"/>
        <v>3</v>
      </c>
      <c r="I142" s="17">
        <f t="shared" si="138"/>
        <v>3</v>
      </c>
      <c r="J142" s="17">
        <f t="shared" si="138"/>
        <v>3</v>
      </c>
      <c r="K142" s="17">
        <f t="shared" si="138"/>
        <v>3</v>
      </c>
      <c r="L142" s="17">
        <f t="shared" si="138"/>
      </c>
      <c r="M142" s="17">
        <f t="shared" si="138"/>
      </c>
      <c r="N142" s="17">
        <f t="shared" si="138"/>
        <v>3</v>
      </c>
      <c r="O142" s="17">
        <f t="shared" si="138"/>
        <v>81</v>
      </c>
      <c r="P142" s="17">
        <f t="shared" si="138"/>
      </c>
      <c r="Q142" s="17">
        <f t="shared" si="138"/>
      </c>
      <c r="R142" s="17">
        <f t="shared" si="138"/>
        <v>81</v>
      </c>
      <c r="S142" s="17">
        <f t="shared" si="138"/>
      </c>
      <c r="T142" s="17">
        <f t="shared" si="138"/>
      </c>
      <c r="U142" s="17">
        <f t="shared" si="138"/>
      </c>
      <c r="V142" s="17">
        <f aca="true" t="shared" si="139" ref="V142:AF142">IF(V101="",V101,$C$6^(V101-1))</f>
      </c>
      <c r="W142" s="17">
        <f t="shared" si="139"/>
      </c>
      <c r="X142" s="17">
        <f t="shared" si="139"/>
      </c>
      <c r="Y142" s="17">
        <f t="shared" si="139"/>
      </c>
      <c r="Z142" s="17">
        <f t="shared" si="139"/>
      </c>
      <c r="AA142" s="17">
        <f t="shared" si="139"/>
      </c>
      <c r="AB142" s="17">
        <f t="shared" si="139"/>
      </c>
      <c r="AC142" s="17">
        <f t="shared" si="139"/>
      </c>
      <c r="AD142" s="17">
        <f t="shared" si="139"/>
      </c>
      <c r="AE142" s="17">
        <f t="shared" si="139"/>
      </c>
      <c r="AF142" s="17">
        <f t="shared" si="139"/>
      </c>
    </row>
    <row r="143" spans="4:32" ht="12.75">
      <c r="D143" s="9" t="s">
        <v>44</v>
      </c>
      <c r="E143" s="9"/>
      <c r="F143" s="17">
        <f aca="true" t="shared" si="140" ref="F143:U143">IF(ISBLANK(F102),F102,2^(F102-1))</f>
        <v>0</v>
      </c>
      <c r="G143" s="17">
        <f t="shared" si="140"/>
        <v>0</v>
      </c>
      <c r="H143" s="17" t="e">
        <f t="shared" si="140"/>
        <v>#VALUE!</v>
      </c>
      <c r="I143" s="17" t="e">
        <f>IF(ISBLANK(I102),I102,2^(I102-1))</f>
        <v>#VALUE!</v>
      </c>
      <c r="J143" s="17" t="e">
        <f t="shared" si="140"/>
        <v>#VALUE!</v>
      </c>
      <c r="K143" s="17" t="e">
        <f t="shared" si="140"/>
        <v>#VALUE!</v>
      </c>
      <c r="L143" s="17">
        <f t="shared" si="140"/>
        <v>0</v>
      </c>
      <c r="M143" s="17">
        <f t="shared" si="140"/>
        <v>0</v>
      </c>
      <c r="N143" s="17" t="e">
        <f t="shared" si="140"/>
        <v>#VALUE!</v>
      </c>
      <c r="O143" s="17" t="e">
        <f t="shared" si="140"/>
        <v>#VALUE!</v>
      </c>
      <c r="P143" s="17">
        <f t="shared" si="140"/>
        <v>0</v>
      </c>
      <c r="Q143" s="17">
        <f t="shared" si="140"/>
        <v>0</v>
      </c>
      <c r="R143" s="17" t="e">
        <f t="shared" si="140"/>
        <v>#VALUE!</v>
      </c>
      <c r="S143" s="17">
        <f t="shared" si="140"/>
        <v>0</v>
      </c>
      <c r="T143" s="17">
        <f t="shared" si="140"/>
        <v>0</v>
      </c>
      <c r="U143" s="17">
        <f t="shared" si="140"/>
        <v>0</v>
      </c>
      <c r="V143" s="17">
        <f aca="true" t="shared" si="141" ref="V143:AF143">IF(ISBLANK(V102),V102,2^(V102-1))</f>
        <v>0</v>
      </c>
      <c r="W143" s="17">
        <f t="shared" si="141"/>
        <v>0</v>
      </c>
      <c r="X143" s="17">
        <f t="shared" si="141"/>
        <v>0</v>
      </c>
      <c r="Y143" s="17">
        <f t="shared" si="141"/>
        <v>0</v>
      </c>
      <c r="Z143" s="17">
        <f t="shared" si="141"/>
        <v>0</v>
      </c>
      <c r="AA143" s="17">
        <f t="shared" si="141"/>
        <v>0</v>
      </c>
      <c r="AB143" s="17">
        <f t="shared" si="141"/>
        <v>0</v>
      </c>
      <c r="AC143" s="17">
        <f t="shared" si="141"/>
        <v>0</v>
      </c>
      <c r="AD143" s="17">
        <f t="shared" si="141"/>
        <v>0</v>
      </c>
      <c r="AE143" s="17">
        <f t="shared" si="141"/>
        <v>0</v>
      </c>
      <c r="AF143" s="17">
        <f t="shared" si="141"/>
        <v>0</v>
      </c>
    </row>
    <row r="144" spans="4:32" ht="12.75">
      <c r="D144" s="27"/>
      <c r="F144" s="19" t="str">
        <f aca="true" t="shared" si="142" ref="F144:U144">F21</f>
        <v>E</v>
      </c>
      <c r="G144" s="19" t="str">
        <f t="shared" si="142"/>
        <v>D</v>
      </c>
      <c r="H144" s="19" t="str">
        <f t="shared" si="142"/>
        <v>B</v>
      </c>
      <c r="I144" s="19" t="str">
        <f t="shared" si="142"/>
        <v>D</v>
      </c>
      <c r="J144" s="19" t="str">
        <f t="shared" si="142"/>
        <v>D</v>
      </c>
      <c r="K144" s="19" t="str">
        <f t="shared" si="142"/>
        <v>D</v>
      </c>
      <c r="L144" s="19" t="str">
        <f t="shared" si="142"/>
        <v>D</v>
      </c>
      <c r="M144" s="19" t="str">
        <f t="shared" si="142"/>
        <v>D</v>
      </c>
      <c r="N144" s="19" t="str">
        <f t="shared" si="142"/>
        <v>B</v>
      </c>
      <c r="O144" s="19" t="str">
        <f t="shared" si="142"/>
        <v>D</v>
      </c>
      <c r="P144" s="19" t="str">
        <f t="shared" si="142"/>
        <v>A</v>
      </c>
      <c r="Q144" s="19" t="str">
        <f t="shared" si="142"/>
        <v>B</v>
      </c>
      <c r="R144" s="19" t="str">
        <f t="shared" si="142"/>
        <v>C</v>
      </c>
      <c r="S144" s="19" t="str">
        <f t="shared" si="142"/>
        <v>C</v>
      </c>
      <c r="T144" s="19" t="str">
        <f t="shared" si="142"/>
        <v>C</v>
      </c>
      <c r="U144" s="19" t="str">
        <f t="shared" si="142"/>
        <v>B</v>
      </c>
      <c r="V144" s="19" t="str">
        <f aca="true" t="shared" si="143" ref="V144:AF144">V21</f>
        <v>B</v>
      </c>
      <c r="W144" s="19" t="str">
        <f t="shared" si="143"/>
        <v>C</v>
      </c>
      <c r="X144" s="19" t="str">
        <f t="shared" si="143"/>
        <v>B</v>
      </c>
      <c r="Y144" s="19" t="str">
        <f t="shared" si="143"/>
        <v>D</v>
      </c>
      <c r="Z144" s="19" t="str">
        <f t="shared" si="143"/>
        <v>D</v>
      </c>
      <c r="AA144" s="19" t="str">
        <f t="shared" si="143"/>
        <v>B</v>
      </c>
      <c r="AB144" s="19" t="str">
        <f t="shared" si="143"/>
        <v>B</v>
      </c>
      <c r="AC144" s="19" t="str">
        <f t="shared" si="143"/>
        <v>B</v>
      </c>
      <c r="AD144" s="19" t="str">
        <f t="shared" si="143"/>
        <v>B</v>
      </c>
      <c r="AE144" s="19" t="str">
        <f t="shared" si="143"/>
        <v>C</v>
      </c>
      <c r="AF144" s="19" t="str">
        <f t="shared" si="143"/>
        <v>C</v>
      </c>
    </row>
    <row r="145" spans="4:32" ht="12.75">
      <c r="D145" s="27"/>
      <c r="E145" s="14"/>
      <c r="F145" s="1">
        <f aca="true" t="shared" si="144" ref="F145:U145">SUM(F105:F142)</f>
        <v>409</v>
      </c>
      <c r="G145" s="1">
        <f t="shared" si="144"/>
        <v>135</v>
      </c>
      <c r="H145" s="1">
        <f t="shared" si="144"/>
        <v>576</v>
      </c>
      <c r="I145" s="1">
        <f t="shared" si="144"/>
        <v>764</v>
      </c>
      <c r="J145" s="1">
        <f t="shared" si="144"/>
        <v>594</v>
      </c>
      <c r="K145" s="1">
        <f t="shared" si="144"/>
        <v>690</v>
      </c>
      <c r="L145" s="1">
        <f t="shared" si="144"/>
        <v>125</v>
      </c>
      <c r="M145" s="1">
        <f t="shared" si="144"/>
        <v>183</v>
      </c>
      <c r="N145" s="1">
        <f t="shared" si="144"/>
        <v>80</v>
      </c>
      <c r="O145" s="1">
        <f t="shared" si="144"/>
        <v>744</v>
      </c>
      <c r="P145" s="1">
        <f t="shared" si="144"/>
        <v>25</v>
      </c>
      <c r="Q145" s="1">
        <f t="shared" si="144"/>
        <v>75</v>
      </c>
      <c r="R145" s="1">
        <f t="shared" si="144"/>
        <v>1358</v>
      </c>
      <c r="S145" s="1">
        <f t="shared" si="144"/>
        <v>115</v>
      </c>
      <c r="T145" s="1">
        <f t="shared" si="144"/>
        <v>33</v>
      </c>
      <c r="U145" s="1">
        <f t="shared" si="144"/>
        <v>19</v>
      </c>
      <c r="V145" s="1">
        <f aca="true" t="shared" si="145" ref="V145:AF145">SUM(V105:V142)</f>
        <v>21</v>
      </c>
      <c r="W145" s="1">
        <f t="shared" si="145"/>
        <v>45</v>
      </c>
      <c r="X145" s="1">
        <f t="shared" si="145"/>
        <v>29</v>
      </c>
      <c r="Y145" s="1">
        <f t="shared" si="145"/>
        <v>79</v>
      </c>
      <c r="Z145" s="1">
        <f t="shared" si="145"/>
        <v>103</v>
      </c>
      <c r="AA145" s="1">
        <f t="shared" si="145"/>
        <v>23</v>
      </c>
      <c r="AB145" s="1">
        <f t="shared" si="145"/>
        <v>25</v>
      </c>
      <c r="AC145" s="1">
        <f t="shared" si="145"/>
        <v>19</v>
      </c>
      <c r="AD145" s="1">
        <f t="shared" si="145"/>
        <v>23</v>
      </c>
      <c r="AE145" s="1">
        <f t="shared" si="145"/>
        <v>33</v>
      </c>
      <c r="AF145" s="1">
        <f t="shared" si="145"/>
        <v>33</v>
      </c>
    </row>
    <row r="146" ht="12.75">
      <c r="D146" s="27"/>
    </row>
    <row r="147" spans="4:32" ht="12.75">
      <c r="D147" s="27"/>
      <c r="F147" s="16">
        <v>5</v>
      </c>
      <c r="G147" s="16">
        <v>4</v>
      </c>
      <c r="H147" s="16">
        <v>2</v>
      </c>
      <c r="I147" s="16">
        <v>4</v>
      </c>
      <c r="J147" s="16">
        <v>4</v>
      </c>
      <c r="K147" s="16">
        <v>4</v>
      </c>
      <c r="L147" s="16">
        <v>4</v>
      </c>
      <c r="M147" s="16">
        <v>4</v>
      </c>
      <c r="N147" s="16">
        <v>2</v>
      </c>
      <c r="O147" s="16">
        <v>4</v>
      </c>
      <c r="P147" s="16">
        <v>1</v>
      </c>
      <c r="Q147" s="16">
        <v>2</v>
      </c>
      <c r="R147" s="16">
        <v>3</v>
      </c>
      <c r="S147" s="16">
        <v>3</v>
      </c>
      <c r="T147" s="16">
        <v>3</v>
      </c>
      <c r="U147" s="16">
        <v>2</v>
      </c>
      <c r="V147" s="16">
        <v>2</v>
      </c>
      <c r="W147" s="16">
        <v>3</v>
      </c>
      <c r="X147" s="16">
        <v>2</v>
      </c>
      <c r="Y147" s="16">
        <v>4</v>
      </c>
      <c r="Z147" s="16">
        <v>4</v>
      </c>
      <c r="AA147" s="16">
        <v>2</v>
      </c>
      <c r="AB147" s="16">
        <v>2</v>
      </c>
      <c r="AC147" s="16">
        <v>2</v>
      </c>
      <c r="AD147" s="16">
        <v>2</v>
      </c>
      <c r="AE147" s="16">
        <v>3</v>
      </c>
      <c r="AF147" s="16">
        <v>3</v>
      </c>
    </row>
    <row r="148" spans="4:32" ht="12.75">
      <c r="D148" s="4" t="s">
        <v>4</v>
      </c>
      <c r="F148" s="21">
        <f>IF(F64="","",$C22)</f>
        <v>1</v>
      </c>
      <c r="G148" s="21">
        <f aca="true" t="shared" si="146" ref="G148:U148">IF(G64="","",$C22)</f>
        <v>1</v>
      </c>
      <c r="H148" s="21">
        <f t="shared" si="146"/>
        <v>1</v>
      </c>
      <c r="I148" s="21">
        <f t="shared" si="146"/>
        <v>1</v>
      </c>
      <c r="J148" s="21">
        <f t="shared" si="146"/>
        <v>1</v>
      </c>
      <c r="K148" s="21">
        <f t="shared" si="146"/>
        <v>1</v>
      </c>
      <c r="L148" s="21">
        <f t="shared" si="146"/>
        <v>1</v>
      </c>
      <c r="M148" s="21">
        <f t="shared" si="146"/>
        <v>1</v>
      </c>
      <c r="N148" s="21">
        <f t="shared" si="146"/>
        <v>1</v>
      </c>
      <c r="O148" s="21">
        <f t="shared" si="146"/>
        <v>1</v>
      </c>
      <c r="P148" s="21">
        <f t="shared" si="146"/>
        <v>1</v>
      </c>
      <c r="Q148" s="21">
        <f t="shared" si="146"/>
        <v>1</v>
      </c>
      <c r="R148" s="21">
        <f t="shared" si="146"/>
        <v>1</v>
      </c>
      <c r="S148" s="21">
        <f t="shared" si="146"/>
        <v>1</v>
      </c>
      <c r="T148" s="21">
        <f t="shared" si="146"/>
        <v>1</v>
      </c>
      <c r="U148" s="21">
        <f t="shared" si="146"/>
        <v>1</v>
      </c>
      <c r="V148" s="21">
        <f aca="true" t="shared" si="147" ref="V148:AF148">IF(V64="","",$C22)</f>
        <v>1</v>
      </c>
      <c r="W148" s="21">
        <f t="shared" si="147"/>
        <v>1</v>
      </c>
      <c r="X148" s="21">
        <f t="shared" si="147"/>
        <v>1</v>
      </c>
      <c r="Y148" s="21">
        <f t="shared" si="147"/>
        <v>1</v>
      </c>
      <c r="Z148" s="21">
        <f t="shared" si="147"/>
        <v>1</v>
      </c>
      <c r="AA148" s="21">
        <f t="shared" si="147"/>
        <v>1</v>
      </c>
      <c r="AB148" s="21">
        <f t="shared" si="147"/>
        <v>1</v>
      </c>
      <c r="AC148" s="21">
        <f t="shared" si="147"/>
        <v>1</v>
      </c>
      <c r="AD148" s="21">
        <f t="shared" si="147"/>
        <v>1</v>
      </c>
      <c r="AE148" s="21">
        <f t="shared" si="147"/>
        <v>1</v>
      </c>
      <c r="AF148" s="21">
        <f t="shared" si="147"/>
        <v>1</v>
      </c>
    </row>
    <row r="149" spans="4:32" ht="12.75">
      <c r="D149" s="5" t="s">
        <v>5</v>
      </c>
      <c r="F149" s="21">
        <f aca="true" t="shared" si="148" ref="F149:U149">IF(F65="","",$C23)</f>
      </c>
      <c r="G149" s="21">
        <f t="shared" si="148"/>
      </c>
      <c r="H149" s="21">
        <f t="shared" si="148"/>
      </c>
      <c r="I149" s="21">
        <f t="shared" si="148"/>
      </c>
      <c r="J149" s="21">
        <f t="shared" si="148"/>
      </c>
      <c r="K149" s="21">
        <f t="shared" si="148"/>
      </c>
      <c r="L149" s="21">
        <f t="shared" si="148"/>
      </c>
      <c r="M149" s="21">
        <f t="shared" si="148"/>
      </c>
      <c r="N149" s="21">
        <f t="shared" si="148"/>
      </c>
      <c r="O149" s="21">
        <f t="shared" si="148"/>
      </c>
      <c r="P149" s="21">
        <f t="shared" si="148"/>
      </c>
      <c r="Q149" s="21">
        <f t="shared" si="148"/>
      </c>
      <c r="R149" s="21">
        <f t="shared" si="148"/>
      </c>
      <c r="S149" s="21">
        <f t="shared" si="148"/>
      </c>
      <c r="T149" s="21">
        <f t="shared" si="148"/>
      </c>
      <c r="U149" s="21">
        <f t="shared" si="148"/>
      </c>
      <c r="V149" s="21">
        <f aca="true" t="shared" si="149" ref="V149:AF149">IF(V65="","",$C23)</f>
      </c>
      <c r="W149" s="21">
        <f t="shared" si="149"/>
      </c>
      <c r="X149" s="21">
        <f t="shared" si="149"/>
      </c>
      <c r="Y149" s="21">
        <f t="shared" si="149"/>
      </c>
      <c r="Z149" s="21">
        <f t="shared" si="149"/>
      </c>
      <c r="AA149" s="21">
        <f t="shared" si="149"/>
      </c>
      <c r="AB149" s="21">
        <f t="shared" si="149"/>
      </c>
      <c r="AC149" s="21">
        <f t="shared" si="149"/>
      </c>
      <c r="AD149" s="21">
        <f t="shared" si="149"/>
      </c>
      <c r="AE149" s="21">
        <f t="shared" si="149"/>
      </c>
      <c r="AF149" s="21">
        <f t="shared" si="149"/>
      </c>
    </row>
    <row r="150" spans="4:32" ht="12.75">
      <c r="D150" s="29" t="s">
        <v>6</v>
      </c>
      <c r="F150" s="21">
        <f aca="true" t="shared" si="150" ref="F150:U150">IF(F66="","",$C24)</f>
        <v>0.5</v>
      </c>
      <c r="G150" s="21">
        <f t="shared" si="150"/>
        <v>0.5</v>
      </c>
      <c r="H150" s="21">
        <f t="shared" si="150"/>
        <v>0.5</v>
      </c>
      <c r="I150" s="21">
        <f t="shared" si="150"/>
        <v>0.5</v>
      </c>
      <c r="J150" s="21">
        <f t="shared" si="150"/>
        <v>0.5</v>
      </c>
      <c r="K150" s="21">
        <f t="shared" si="150"/>
        <v>0.5</v>
      </c>
      <c r="L150" s="21">
        <f t="shared" si="150"/>
        <v>0.5</v>
      </c>
      <c r="M150" s="21">
        <f t="shared" si="150"/>
        <v>0.5</v>
      </c>
      <c r="N150" s="21">
        <f t="shared" si="150"/>
        <v>0.5</v>
      </c>
      <c r="O150" s="21">
        <f t="shared" si="150"/>
        <v>0.5</v>
      </c>
      <c r="P150" s="21">
        <f t="shared" si="150"/>
        <v>0.5</v>
      </c>
      <c r="Q150" s="21">
        <f t="shared" si="150"/>
        <v>0.5</v>
      </c>
      <c r="R150" s="21">
        <f t="shared" si="150"/>
        <v>0.5</v>
      </c>
      <c r="S150" s="21">
        <f t="shared" si="150"/>
        <v>0.5</v>
      </c>
      <c r="T150" s="21">
        <f t="shared" si="150"/>
        <v>0.5</v>
      </c>
      <c r="U150" s="21">
        <f t="shared" si="150"/>
        <v>0.5</v>
      </c>
      <c r="V150" s="21">
        <f aca="true" t="shared" si="151" ref="V150:AF150">IF(V66="","",$C24)</f>
        <v>0.5</v>
      </c>
      <c r="W150" s="21">
        <f t="shared" si="151"/>
        <v>0.5</v>
      </c>
      <c r="X150" s="21">
        <f t="shared" si="151"/>
        <v>0.5</v>
      </c>
      <c r="Y150" s="21">
        <f t="shared" si="151"/>
        <v>0.5</v>
      </c>
      <c r="Z150" s="21">
        <f t="shared" si="151"/>
        <v>0.5</v>
      </c>
      <c r="AA150" s="21">
        <f t="shared" si="151"/>
        <v>0.5</v>
      </c>
      <c r="AB150" s="21">
        <f t="shared" si="151"/>
        <v>0.5</v>
      </c>
      <c r="AC150" s="21">
        <f t="shared" si="151"/>
        <v>0.5</v>
      </c>
      <c r="AD150" s="21">
        <f t="shared" si="151"/>
        <v>0.5</v>
      </c>
      <c r="AE150" s="21">
        <f t="shared" si="151"/>
        <v>0.5</v>
      </c>
      <c r="AF150" s="21">
        <f t="shared" si="151"/>
        <v>0.5</v>
      </c>
    </row>
    <row r="151" spans="4:32" ht="12.75">
      <c r="D151" s="6" t="s">
        <v>7</v>
      </c>
      <c r="F151" s="21">
        <f>IF(F67="","",$C25)</f>
        <v>0.5</v>
      </c>
      <c r="G151" s="21">
        <f aca="true" t="shared" si="152" ref="G151:U151">IF(G67="","",$C25)</f>
        <v>0.5</v>
      </c>
      <c r="H151" s="21">
        <f t="shared" si="152"/>
        <v>0.5</v>
      </c>
      <c r="I151" s="21">
        <f t="shared" si="152"/>
        <v>0.5</v>
      </c>
      <c r="J151" s="21">
        <f t="shared" si="152"/>
        <v>0.5</v>
      </c>
      <c r="K151" s="21">
        <f t="shared" si="152"/>
        <v>0.5</v>
      </c>
      <c r="L151" s="21">
        <f t="shared" si="152"/>
        <v>0.5</v>
      </c>
      <c r="M151" s="21">
        <f t="shared" si="152"/>
        <v>0.5</v>
      </c>
      <c r="N151" s="21">
        <f t="shared" si="152"/>
        <v>0.5</v>
      </c>
      <c r="O151" s="21">
        <f t="shared" si="152"/>
        <v>0.5</v>
      </c>
      <c r="P151" s="21">
        <f t="shared" si="152"/>
        <v>0.5</v>
      </c>
      <c r="Q151" s="21">
        <f t="shared" si="152"/>
        <v>0.5</v>
      </c>
      <c r="R151" s="21">
        <f t="shared" si="152"/>
        <v>0.5</v>
      </c>
      <c r="S151" s="21">
        <f t="shared" si="152"/>
        <v>0.5</v>
      </c>
      <c r="T151" s="21">
        <f t="shared" si="152"/>
        <v>0.5</v>
      </c>
      <c r="U151" s="21">
        <f t="shared" si="152"/>
        <v>0.5</v>
      </c>
      <c r="V151" s="21">
        <f aca="true" t="shared" si="153" ref="V151:AF151">IF(V67="","",$C25)</f>
        <v>0.5</v>
      </c>
      <c r="W151" s="21">
        <f t="shared" si="153"/>
        <v>0.5</v>
      </c>
      <c r="X151" s="21">
        <f t="shared" si="153"/>
        <v>0.5</v>
      </c>
      <c r="Y151" s="21">
        <f t="shared" si="153"/>
        <v>0.5</v>
      </c>
      <c r="Z151" s="21">
        <f t="shared" si="153"/>
        <v>0.5</v>
      </c>
      <c r="AA151" s="21">
        <f t="shared" si="153"/>
        <v>0.5</v>
      </c>
      <c r="AB151" s="21">
        <f t="shared" si="153"/>
        <v>0.5</v>
      </c>
      <c r="AC151" s="21">
        <f t="shared" si="153"/>
        <v>0.5</v>
      </c>
      <c r="AD151" s="21">
        <f t="shared" si="153"/>
        <v>0.5</v>
      </c>
      <c r="AE151" s="21">
        <f t="shared" si="153"/>
        <v>0.5</v>
      </c>
      <c r="AF151" s="21">
        <f t="shared" si="153"/>
        <v>0.5</v>
      </c>
    </row>
    <row r="152" spans="4:32" ht="12.75">
      <c r="D152" s="6" t="s">
        <v>8</v>
      </c>
      <c r="F152" s="21">
        <f aca="true" t="shared" si="154" ref="F152:U152">IF(F68="","",$C26)</f>
        <v>0.5</v>
      </c>
      <c r="G152" s="21">
        <f t="shared" si="154"/>
        <v>0.5</v>
      </c>
      <c r="H152" s="21">
        <f t="shared" si="154"/>
        <v>0.5</v>
      </c>
      <c r="I152" s="21">
        <f t="shared" si="154"/>
        <v>0.5</v>
      </c>
      <c r="J152" s="21">
        <f t="shared" si="154"/>
        <v>0.5</v>
      </c>
      <c r="K152" s="21">
        <f t="shared" si="154"/>
        <v>0.5</v>
      </c>
      <c r="L152" s="21">
        <f t="shared" si="154"/>
        <v>0.5</v>
      </c>
      <c r="M152" s="21">
        <f t="shared" si="154"/>
        <v>0.5</v>
      </c>
      <c r="N152" s="21">
        <f t="shared" si="154"/>
        <v>0.5</v>
      </c>
      <c r="O152" s="21">
        <f t="shared" si="154"/>
        <v>0.5</v>
      </c>
      <c r="P152" s="21">
        <f t="shared" si="154"/>
        <v>0.5</v>
      </c>
      <c r="Q152" s="21">
        <f t="shared" si="154"/>
        <v>0.5</v>
      </c>
      <c r="R152" s="21">
        <f t="shared" si="154"/>
        <v>0.5</v>
      </c>
      <c r="S152" s="21">
        <f t="shared" si="154"/>
        <v>0.5</v>
      </c>
      <c r="T152" s="21">
        <f t="shared" si="154"/>
        <v>0.5</v>
      </c>
      <c r="U152" s="21">
        <f t="shared" si="154"/>
        <v>0.5</v>
      </c>
      <c r="V152" s="21">
        <f aca="true" t="shared" si="155" ref="V152:AF152">IF(V68="","",$C26)</f>
        <v>0.5</v>
      </c>
      <c r="W152" s="21">
        <f t="shared" si="155"/>
        <v>0.5</v>
      </c>
      <c r="X152" s="21">
        <f t="shared" si="155"/>
        <v>0.5</v>
      </c>
      <c r="Y152" s="21">
        <f t="shared" si="155"/>
        <v>0.5</v>
      </c>
      <c r="Z152" s="21">
        <f t="shared" si="155"/>
        <v>0.5</v>
      </c>
      <c r="AA152" s="21">
        <f t="shared" si="155"/>
        <v>0.5</v>
      </c>
      <c r="AB152" s="21">
        <f t="shared" si="155"/>
        <v>0.5</v>
      </c>
      <c r="AC152" s="21">
        <f t="shared" si="155"/>
        <v>0.5</v>
      </c>
      <c r="AD152" s="21">
        <f t="shared" si="155"/>
        <v>0.5</v>
      </c>
      <c r="AE152" s="21">
        <f t="shared" si="155"/>
        <v>0.5</v>
      </c>
      <c r="AF152" s="21">
        <f t="shared" si="155"/>
        <v>0.5</v>
      </c>
    </row>
    <row r="153" spans="4:32" ht="12.75">
      <c r="D153" s="7" t="s">
        <v>9</v>
      </c>
      <c r="F153" s="21">
        <f aca="true" t="shared" si="156" ref="F153:U153">IF(F69="","",$C27)</f>
        <v>0.5</v>
      </c>
      <c r="G153" s="21">
        <f t="shared" si="156"/>
        <v>0.5</v>
      </c>
      <c r="H153" s="21">
        <f t="shared" si="156"/>
        <v>0.5</v>
      </c>
      <c r="I153" s="21">
        <f t="shared" si="156"/>
        <v>0.5</v>
      </c>
      <c r="J153" s="21">
        <f t="shared" si="156"/>
        <v>0.5</v>
      </c>
      <c r="K153" s="21">
        <f t="shared" si="156"/>
        <v>0.5</v>
      </c>
      <c r="L153" s="21">
        <f t="shared" si="156"/>
        <v>0.5</v>
      </c>
      <c r="M153" s="21">
        <f t="shared" si="156"/>
        <v>0.5</v>
      </c>
      <c r="N153" s="21">
        <f t="shared" si="156"/>
        <v>0.5</v>
      </c>
      <c r="O153" s="21">
        <f t="shared" si="156"/>
        <v>0.5</v>
      </c>
      <c r="P153" s="21">
        <f t="shared" si="156"/>
        <v>0.5</v>
      </c>
      <c r="Q153" s="21">
        <f t="shared" si="156"/>
        <v>0.5</v>
      </c>
      <c r="R153" s="21">
        <f t="shared" si="156"/>
        <v>0.5</v>
      </c>
      <c r="S153" s="21">
        <f t="shared" si="156"/>
        <v>0.5</v>
      </c>
      <c r="T153" s="21">
        <f t="shared" si="156"/>
        <v>0.5</v>
      </c>
      <c r="U153" s="21">
        <f t="shared" si="156"/>
        <v>0.5</v>
      </c>
      <c r="V153" s="21">
        <f aca="true" t="shared" si="157" ref="V153:AF153">IF(V69="","",$C27)</f>
        <v>0.5</v>
      </c>
      <c r="W153" s="21">
        <f t="shared" si="157"/>
        <v>0.5</v>
      </c>
      <c r="X153" s="21">
        <f t="shared" si="157"/>
        <v>0.5</v>
      </c>
      <c r="Y153" s="21">
        <f t="shared" si="157"/>
        <v>0.5</v>
      </c>
      <c r="Z153" s="21">
        <f t="shared" si="157"/>
        <v>0.5</v>
      </c>
      <c r="AA153" s="21">
        <f t="shared" si="157"/>
        <v>0.5</v>
      </c>
      <c r="AB153" s="21">
        <f t="shared" si="157"/>
        <v>0.5</v>
      </c>
      <c r="AC153" s="21">
        <f t="shared" si="157"/>
        <v>0.5</v>
      </c>
      <c r="AD153" s="21">
        <f t="shared" si="157"/>
        <v>0.5</v>
      </c>
      <c r="AE153" s="21">
        <f t="shared" si="157"/>
        <v>0.5</v>
      </c>
      <c r="AF153" s="21">
        <f t="shared" si="157"/>
        <v>0.5</v>
      </c>
    </row>
    <row r="154" spans="4:32" ht="12.75">
      <c r="D154" s="6" t="s">
        <v>10</v>
      </c>
      <c r="F154" s="21">
        <f aca="true" t="shared" si="158" ref="F154:U154">IF(F70="","",$C28)</f>
      </c>
      <c r="G154" s="21">
        <f t="shared" si="158"/>
      </c>
      <c r="H154" s="21">
        <f t="shared" si="158"/>
      </c>
      <c r="I154" s="21">
        <f t="shared" si="158"/>
      </c>
      <c r="J154" s="21">
        <f t="shared" si="158"/>
      </c>
      <c r="K154" s="21">
        <f t="shared" si="158"/>
      </c>
      <c r="L154" s="21">
        <f t="shared" si="158"/>
      </c>
      <c r="M154" s="21">
        <f t="shared" si="158"/>
      </c>
      <c r="N154" s="21">
        <f t="shared" si="158"/>
      </c>
      <c r="O154" s="21">
        <f t="shared" si="158"/>
      </c>
      <c r="P154" s="21">
        <f t="shared" si="158"/>
      </c>
      <c r="Q154" s="21">
        <f t="shared" si="158"/>
      </c>
      <c r="R154" s="21">
        <f t="shared" si="158"/>
      </c>
      <c r="S154" s="21">
        <f t="shared" si="158"/>
      </c>
      <c r="T154" s="21">
        <f t="shared" si="158"/>
      </c>
      <c r="U154" s="21">
        <f t="shared" si="158"/>
      </c>
      <c r="V154" s="21">
        <f aca="true" t="shared" si="159" ref="V154:AF154">IF(V70="","",$C28)</f>
      </c>
      <c r="W154" s="21">
        <f t="shared" si="159"/>
      </c>
      <c r="X154" s="21">
        <f t="shared" si="159"/>
      </c>
      <c r="Y154" s="21">
        <f t="shared" si="159"/>
      </c>
      <c r="Z154" s="21">
        <f t="shared" si="159"/>
      </c>
      <c r="AA154" s="21">
        <f t="shared" si="159"/>
      </c>
      <c r="AB154" s="21">
        <f t="shared" si="159"/>
      </c>
      <c r="AC154" s="21">
        <f t="shared" si="159"/>
      </c>
      <c r="AD154" s="21">
        <f t="shared" si="159"/>
      </c>
      <c r="AE154" s="21">
        <f t="shared" si="159"/>
      </c>
      <c r="AF154" s="21">
        <f t="shared" si="159"/>
      </c>
    </row>
    <row r="155" spans="4:32" ht="12.75">
      <c r="D155" s="8" t="s">
        <v>11</v>
      </c>
      <c r="F155" s="21">
        <f aca="true" t="shared" si="160" ref="F155:U155">IF(F71="","",$C29)</f>
      </c>
      <c r="G155" s="21">
        <f t="shared" si="160"/>
      </c>
      <c r="H155" s="21">
        <f t="shared" si="160"/>
      </c>
      <c r="I155" s="21">
        <f t="shared" si="160"/>
      </c>
      <c r="J155" s="21">
        <f t="shared" si="160"/>
      </c>
      <c r="K155" s="21">
        <f t="shared" si="160"/>
      </c>
      <c r="L155" s="21">
        <f t="shared" si="160"/>
      </c>
      <c r="M155" s="21">
        <f t="shared" si="160"/>
      </c>
      <c r="N155" s="21">
        <f t="shared" si="160"/>
      </c>
      <c r="O155" s="21">
        <f t="shared" si="160"/>
      </c>
      <c r="P155" s="21">
        <f t="shared" si="160"/>
      </c>
      <c r="Q155" s="21">
        <f t="shared" si="160"/>
      </c>
      <c r="R155" s="21">
        <f t="shared" si="160"/>
      </c>
      <c r="S155" s="21">
        <f t="shared" si="160"/>
      </c>
      <c r="T155" s="21">
        <f t="shared" si="160"/>
      </c>
      <c r="U155" s="21">
        <f t="shared" si="160"/>
      </c>
      <c r="V155" s="21">
        <f aca="true" t="shared" si="161" ref="V155:AF155">IF(V71="","",$C29)</f>
      </c>
      <c r="W155" s="21">
        <f t="shared" si="161"/>
      </c>
      <c r="X155" s="21">
        <f t="shared" si="161"/>
      </c>
      <c r="Y155" s="21">
        <f t="shared" si="161"/>
      </c>
      <c r="Z155" s="21">
        <f t="shared" si="161"/>
      </c>
      <c r="AA155" s="21">
        <f t="shared" si="161"/>
      </c>
      <c r="AB155" s="21">
        <f t="shared" si="161"/>
      </c>
      <c r="AC155" s="21">
        <f t="shared" si="161"/>
      </c>
      <c r="AD155" s="21">
        <f t="shared" si="161"/>
      </c>
      <c r="AE155" s="21">
        <f t="shared" si="161"/>
      </c>
      <c r="AF155" s="21">
        <f t="shared" si="161"/>
      </c>
    </row>
    <row r="156" spans="4:32" ht="12.75">
      <c r="D156" s="4" t="s">
        <v>12</v>
      </c>
      <c r="F156" s="21">
        <f aca="true" t="shared" si="162" ref="F156:U156">IF(F72="","",$C30)</f>
        <v>0.5</v>
      </c>
      <c r="G156" s="21">
        <f t="shared" si="162"/>
        <v>0.5</v>
      </c>
      <c r="H156" s="21">
        <f t="shared" si="162"/>
        <v>0.5</v>
      </c>
      <c r="I156" s="21">
        <f t="shared" si="162"/>
        <v>0.5</v>
      </c>
      <c r="J156" s="21">
        <f t="shared" si="162"/>
        <v>0.5</v>
      </c>
      <c r="K156" s="21">
        <f t="shared" si="162"/>
        <v>0.5</v>
      </c>
      <c r="L156" s="21">
        <f t="shared" si="162"/>
        <v>0.5</v>
      </c>
      <c r="M156" s="21">
        <f t="shared" si="162"/>
        <v>0.5</v>
      </c>
      <c r="N156" s="21">
        <f t="shared" si="162"/>
        <v>0.5</v>
      </c>
      <c r="O156" s="21">
        <f t="shared" si="162"/>
        <v>0.5</v>
      </c>
      <c r="P156" s="21">
        <f t="shared" si="162"/>
        <v>0.5</v>
      </c>
      <c r="Q156" s="21">
        <f t="shared" si="162"/>
        <v>0.5</v>
      </c>
      <c r="R156" s="21">
        <f t="shared" si="162"/>
        <v>0.5</v>
      </c>
      <c r="S156" s="21">
        <f t="shared" si="162"/>
        <v>0.5</v>
      </c>
      <c r="T156" s="21">
        <f t="shared" si="162"/>
        <v>0.5</v>
      </c>
      <c r="U156" s="21">
        <f t="shared" si="162"/>
        <v>0.5</v>
      </c>
      <c r="V156" s="21">
        <f aca="true" t="shared" si="163" ref="V156:AF156">IF(V72="","",$C30)</f>
        <v>0.5</v>
      </c>
      <c r="W156" s="21">
        <f t="shared" si="163"/>
        <v>0.5</v>
      </c>
      <c r="X156" s="21">
        <f t="shared" si="163"/>
        <v>0.5</v>
      </c>
      <c r="Y156" s="21">
        <f t="shared" si="163"/>
        <v>0.5</v>
      </c>
      <c r="Z156" s="21">
        <f t="shared" si="163"/>
        <v>0.5</v>
      </c>
      <c r="AA156" s="21">
        <f t="shared" si="163"/>
        <v>0.5</v>
      </c>
      <c r="AB156" s="21">
        <f t="shared" si="163"/>
        <v>0.5</v>
      </c>
      <c r="AC156" s="21">
        <f t="shared" si="163"/>
        <v>0.5</v>
      </c>
      <c r="AD156" s="21">
        <f t="shared" si="163"/>
        <v>0.5</v>
      </c>
      <c r="AE156" s="21">
        <f t="shared" si="163"/>
        <v>0.5</v>
      </c>
      <c r="AF156" s="21">
        <f t="shared" si="163"/>
        <v>0.5</v>
      </c>
    </row>
    <row r="157" spans="4:32" ht="12.75">
      <c r="D157" s="6" t="s">
        <v>13</v>
      </c>
      <c r="F157" s="21">
        <f aca="true" t="shared" si="164" ref="F157:U157">IF(F73="","",$C31)</f>
        <v>0.5</v>
      </c>
      <c r="G157" s="21">
        <f t="shared" si="164"/>
        <v>0.5</v>
      </c>
      <c r="H157" s="21">
        <f t="shared" si="164"/>
        <v>0.5</v>
      </c>
      <c r="I157" s="21">
        <f t="shared" si="164"/>
        <v>0.5</v>
      </c>
      <c r="J157" s="21">
        <f t="shared" si="164"/>
        <v>0.5</v>
      </c>
      <c r="K157" s="21">
        <f t="shared" si="164"/>
        <v>0.5</v>
      </c>
      <c r="L157" s="21">
        <f t="shared" si="164"/>
        <v>0.5</v>
      </c>
      <c r="M157" s="21">
        <f t="shared" si="164"/>
        <v>0.5</v>
      </c>
      <c r="N157" s="21">
        <f t="shared" si="164"/>
        <v>0.5</v>
      </c>
      <c r="O157" s="21">
        <f t="shared" si="164"/>
        <v>0.5</v>
      </c>
      <c r="P157" s="21">
        <f t="shared" si="164"/>
        <v>0.5</v>
      </c>
      <c r="Q157" s="21">
        <f t="shared" si="164"/>
        <v>0.5</v>
      </c>
      <c r="R157" s="21">
        <f t="shared" si="164"/>
        <v>0.5</v>
      </c>
      <c r="S157" s="21">
        <f t="shared" si="164"/>
        <v>0.5</v>
      </c>
      <c r="T157" s="21">
        <f t="shared" si="164"/>
        <v>0.5</v>
      </c>
      <c r="U157" s="21">
        <f t="shared" si="164"/>
        <v>0.5</v>
      </c>
      <c r="V157" s="21">
        <f aca="true" t="shared" si="165" ref="V157:AF157">IF(V73="","",$C31)</f>
        <v>0.5</v>
      </c>
      <c r="W157" s="21">
        <f t="shared" si="165"/>
        <v>0.5</v>
      </c>
      <c r="X157" s="21">
        <f t="shared" si="165"/>
        <v>0.5</v>
      </c>
      <c r="Y157" s="21">
        <f t="shared" si="165"/>
        <v>0.5</v>
      </c>
      <c r="Z157" s="21">
        <f t="shared" si="165"/>
        <v>0.5</v>
      </c>
      <c r="AA157" s="21">
        <f t="shared" si="165"/>
        <v>0.5</v>
      </c>
      <c r="AB157" s="21">
        <f t="shared" si="165"/>
        <v>0.5</v>
      </c>
      <c r="AC157" s="21">
        <f t="shared" si="165"/>
        <v>0.5</v>
      </c>
      <c r="AD157" s="21">
        <f t="shared" si="165"/>
        <v>0.5</v>
      </c>
      <c r="AE157" s="21">
        <f t="shared" si="165"/>
        <v>0.5</v>
      </c>
      <c r="AF157" s="21">
        <f t="shared" si="165"/>
        <v>0.5</v>
      </c>
    </row>
    <row r="158" spans="4:32" ht="12.75">
      <c r="D158" s="8" t="s">
        <v>14</v>
      </c>
      <c r="F158" s="21">
        <f aca="true" t="shared" si="166" ref="F158:U158">IF(F74="","",$C32)</f>
      </c>
      <c r="G158" s="21">
        <f t="shared" si="166"/>
      </c>
      <c r="H158" s="21">
        <f t="shared" si="166"/>
      </c>
      <c r="I158" s="21">
        <f t="shared" si="166"/>
      </c>
      <c r="J158" s="21">
        <f t="shared" si="166"/>
      </c>
      <c r="K158" s="21">
        <f t="shared" si="166"/>
      </c>
      <c r="L158" s="21">
        <f t="shared" si="166"/>
      </c>
      <c r="M158" s="21">
        <f t="shared" si="166"/>
      </c>
      <c r="N158" s="21">
        <f t="shared" si="166"/>
      </c>
      <c r="O158" s="21">
        <f t="shared" si="166"/>
      </c>
      <c r="P158" s="21">
        <f t="shared" si="166"/>
      </c>
      <c r="Q158" s="21">
        <f t="shared" si="166"/>
      </c>
      <c r="R158" s="21">
        <f t="shared" si="166"/>
      </c>
      <c r="S158" s="21">
        <f t="shared" si="166"/>
      </c>
      <c r="T158" s="21">
        <f t="shared" si="166"/>
      </c>
      <c r="U158" s="21">
        <f t="shared" si="166"/>
      </c>
      <c r="V158" s="21">
        <f aca="true" t="shared" si="167" ref="V158:AF158">IF(V74="","",$C32)</f>
      </c>
      <c r="W158" s="21">
        <f t="shared" si="167"/>
      </c>
      <c r="X158" s="21">
        <f t="shared" si="167"/>
      </c>
      <c r="Y158" s="21">
        <f t="shared" si="167"/>
      </c>
      <c r="Z158" s="21">
        <f t="shared" si="167"/>
      </c>
      <c r="AA158" s="21">
        <f t="shared" si="167"/>
      </c>
      <c r="AB158" s="21">
        <f t="shared" si="167"/>
      </c>
      <c r="AC158" s="21">
        <f t="shared" si="167"/>
      </c>
      <c r="AD158" s="21">
        <f t="shared" si="167"/>
      </c>
      <c r="AE158" s="21">
        <f t="shared" si="167"/>
      </c>
      <c r="AF158" s="21">
        <f t="shared" si="167"/>
      </c>
    </row>
    <row r="159" spans="4:32" ht="12.75">
      <c r="D159" s="8" t="s">
        <v>15</v>
      </c>
      <c r="F159" s="21">
        <f aca="true" t="shared" si="168" ref="F159:U159">IF(F75="","",$C33)</f>
        <v>0.5</v>
      </c>
      <c r="G159" s="21">
        <f t="shared" si="168"/>
        <v>0.5</v>
      </c>
      <c r="H159" s="21">
        <f t="shared" si="168"/>
        <v>0.5</v>
      </c>
      <c r="I159" s="21">
        <f t="shared" si="168"/>
        <v>0.5</v>
      </c>
      <c r="J159" s="21">
        <f t="shared" si="168"/>
        <v>0.5</v>
      </c>
      <c r="K159" s="21">
        <f t="shared" si="168"/>
        <v>0.5</v>
      </c>
      <c r="L159" s="21">
        <f t="shared" si="168"/>
        <v>0.5</v>
      </c>
      <c r="M159" s="21">
        <f t="shared" si="168"/>
        <v>0.5</v>
      </c>
      <c r="N159" s="21">
        <f t="shared" si="168"/>
        <v>0.5</v>
      </c>
      <c r="O159" s="21">
        <f t="shared" si="168"/>
        <v>0.5</v>
      </c>
      <c r="P159" s="21">
        <f t="shared" si="168"/>
        <v>0.5</v>
      </c>
      <c r="Q159" s="21">
        <f t="shared" si="168"/>
        <v>0.5</v>
      </c>
      <c r="R159" s="21">
        <f t="shared" si="168"/>
        <v>0.5</v>
      </c>
      <c r="S159" s="21">
        <f t="shared" si="168"/>
        <v>0.5</v>
      </c>
      <c r="T159" s="21">
        <f t="shared" si="168"/>
        <v>0.5</v>
      </c>
      <c r="U159" s="21">
        <f t="shared" si="168"/>
        <v>0.5</v>
      </c>
      <c r="V159" s="21">
        <f aca="true" t="shared" si="169" ref="V159:AF159">IF(V75="","",$C33)</f>
        <v>0.5</v>
      </c>
      <c r="W159" s="21">
        <f t="shared" si="169"/>
        <v>0.5</v>
      </c>
      <c r="X159" s="21">
        <f t="shared" si="169"/>
        <v>0.5</v>
      </c>
      <c r="Y159" s="21">
        <f t="shared" si="169"/>
        <v>0.5</v>
      </c>
      <c r="Z159" s="21">
        <f t="shared" si="169"/>
        <v>0.5</v>
      </c>
      <c r="AA159" s="21">
        <f t="shared" si="169"/>
        <v>0.5</v>
      </c>
      <c r="AB159" s="21">
        <f t="shared" si="169"/>
        <v>0.5</v>
      </c>
      <c r="AC159" s="21">
        <f t="shared" si="169"/>
        <v>0.5</v>
      </c>
      <c r="AD159" s="21">
        <f t="shared" si="169"/>
        <v>0.5</v>
      </c>
      <c r="AE159" s="21">
        <f t="shared" si="169"/>
        <v>0.5</v>
      </c>
      <c r="AF159" s="21">
        <f t="shared" si="169"/>
        <v>0.5</v>
      </c>
    </row>
    <row r="160" spans="4:32" ht="12.75">
      <c r="D160" s="8" t="s">
        <v>16</v>
      </c>
      <c r="F160" s="21">
        <f aca="true" t="shared" si="170" ref="F160:U160">IF(F76="","",$C34)</f>
      </c>
      <c r="G160" s="21">
        <f t="shared" si="170"/>
      </c>
      <c r="H160" s="21">
        <f t="shared" si="170"/>
      </c>
      <c r="I160" s="21">
        <f t="shared" si="170"/>
      </c>
      <c r="J160" s="21">
        <f t="shared" si="170"/>
      </c>
      <c r="K160" s="21">
        <f t="shared" si="170"/>
      </c>
      <c r="L160" s="21">
        <f t="shared" si="170"/>
      </c>
      <c r="M160" s="21">
        <f t="shared" si="170"/>
      </c>
      <c r="N160" s="21">
        <f t="shared" si="170"/>
      </c>
      <c r="O160" s="21">
        <f t="shared" si="170"/>
      </c>
      <c r="P160" s="21">
        <f t="shared" si="170"/>
      </c>
      <c r="Q160" s="21">
        <f t="shared" si="170"/>
      </c>
      <c r="R160" s="21">
        <f t="shared" si="170"/>
      </c>
      <c r="S160" s="21">
        <f t="shared" si="170"/>
      </c>
      <c r="T160" s="21">
        <f t="shared" si="170"/>
      </c>
      <c r="U160" s="21">
        <f t="shared" si="170"/>
      </c>
      <c r="V160" s="21">
        <f aca="true" t="shared" si="171" ref="V160:AF160">IF(V76="","",$C34)</f>
      </c>
      <c r="W160" s="21">
        <f t="shared" si="171"/>
      </c>
      <c r="X160" s="21">
        <f t="shared" si="171"/>
      </c>
      <c r="Y160" s="21">
        <f t="shared" si="171"/>
      </c>
      <c r="Z160" s="21">
        <f t="shared" si="171"/>
      </c>
      <c r="AA160" s="21">
        <f t="shared" si="171"/>
      </c>
      <c r="AB160" s="21">
        <f t="shared" si="171"/>
      </c>
      <c r="AC160" s="21">
        <f t="shared" si="171"/>
      </c>
      <c r="AD160" s="21">
        <f t="shared" si="171"/>
      </c>
      <c r="AE160" s="21">
        <f t="shared" si="171"/>
      </c>
      <c r="AF160" s="21">
        <f t="shared" si="171"/>
      </c>
    </row>
    <row r="161" spans="4:32" ht="12.75">
      <c r="D161" s="9" t="s">
        <v>17</v>
      </c>
      <c r="F161" s="21">
        <f aca="true" t="shared" si="172" ref="F161:U161">IF(F77="","",$C35)</f>
        <v>3</v>
      </c>
      <c r="G161" s="21">
        <f t="shared" si="172"/>
        <v>3</v>
      </c>
      <c r="H161" s="21">
        <f t="shared" si="172"/>
        <v>3</v>
      </c>
      <c r="I161" s="21">
        <f t="shared" si="172"/>
        <v>3</v>
      </c>
      <c r="J161" s="21">
        <f t="shared" si="172"/>
        <v>3</v>
      </c>
      <c r="K161" s="21">
        <f t="shared" si="172"/>
        <v>3</v>
      </c>
      <c r="L161" s="21">
        <f t="shared" si="172"/>
        <v>3</v>
      </c>
      <c r="M161" s="21">
        <f t="shared" si="172"/>
        <v>3</v>
      </c>
      <c r="N161" s="21">
        <f t="shared" si="172"/>
        <v>3</v>
      </c>
      <c r="O161" s="21">
        <f t="shared" si="172"/>
        <v>3</v>
      </c>
      <c r="P161" s="21">
        <f t="shared" si="172"/>
        <v>3</v>
      </c>
      <c r="Q161" s="21">
        <f t="shared" si="172"/>
        <v>3</v>
      </c>
      <c r="R161" s="21">
        <f t="shared" si="172"/>
        <v>3</v>
      </c>
      <c r="S161" s="21">
        <f t="shared" si="172"/>
        <v>3</v>
      </c>
      <c r="T161" s="21">
        <f t="shared" si="172"/>
        <v>3</v>
      </c>
      <c r="U161" s="21">
        <f t="shared" si="172"/>
        <v>3</v>
      </c>
      <c r="V161" s="21">
        <f aca="true" t="shared" si="173" ref="V161:AF161">IF(V77="","",$C35)</f>
        <v>3</v>
      </c>
      <c r="W161" s="21">
        <f t="shared" si="173"/>
        <v>3</v>
      </c>
      <c r="X161" s="21">
        <f t="shared" si="173"/>
        <v>3</v>
      </c>
      <c r="Y161" s="21">
        <f t="shared" si="173"/>
        <v>3</v>
      </c>
      <c r="Z161" s="21">
        <f t="shared" si="173"/>
        <v>3</v>
      </c>
      <c r="AA161" s="21">
        <f t="shared" si="173"/>
        <v>3</v>
      </c>
      <c r="AB161" s="21">
        <f t="shared" si="173"/>
        <v>3</v>
      </c>
      <c r="AC161" s="21">
        <f t="shared" si="173"/>
        <v>3</v>
      </c>
      <c r="AD161" s="21">
        <f t="shared" si="173"/>
        <v>3</v>
      </c>
      <c r="AE161" s="21">
        <f t="shared" si="173"/>
        <v>3</v>
      </c>
      <c r="AF161" s="21">
        <f t="shared" si="173"/>
        <v>3</v>
      </c>
    </row>
    <row r="162" spans="4:32" ht="12.75">
      <c r="D162" s="30" t="s">
        <v>18</v>
      </c>
      <c r="F162" s="21">
        <f aca="true" t="shared" si="174" ref="F162:U162">IF(F78="","",$C36)</f>
        <v>2</v>
      </c>
      <c r="G162" s="21">
        <f t="shared" si="174"/>
        <v>2</v>
      </c>
      <c r="H162" s="21">
        <f t="shared" si="174"/>
        <v>2</v>
      </c>
      <c r="I162" s="21">
        <f t="shared" si="174"/>
        <v>2</v>
      </c>
      <c r="J162" s="21">
        <f t="shared" si="174"/>
        <v>2</v>
      </c>
      <c r="K162" s="21">
        <f t="shared" si="174"/>
        <v>2</v>
      </c>
      <c r="L162" s="21">
        <f t="shared" si="174"/>
        <v>2</v>
      </c>
      <c r="M162" s="21">
        <f t="shared" si="174"/>
        <v>2</v>
      </c>
      <c r="N162" s="21">
        <f t="shared" si="174"/>
        <v>2</v>
      </c>
      <c r="O162" s="21">
        <f t="shared" si="174"/>
        <v>2</v>
      </c>
      <c r="P162" s="21">
        <f t="shared" si="174"/>
        <v>2</v>
      </c>
      <c r="Q162" s="21">
        <f t="shared" si="174"/>
        <v>2</v>
      </c>
      <c r="R162" s="21">
        <f t="shared" si="174"/>
        <v>2</v>
      </c>
      <c r="S162" s="21">
        <f t="shared" si="174"/>
        <v>2</v>
      </c>
      <c r="T162" s="21">
        <f t="shared" si="174"/>
        <v>2</v>
      </c>
      <c r="U162" s="21">
        <f t="shared" si="174"/>
        <v>2</v>
      </c>
      <c r="V162" s="21">
        <f aca="true" t="shared" si="175" ref="V162:AF162">IF(V78="","",$C36)</f>
        <v>2</v>
      </c>
      <c r="W162" s="21">
        <f t="shared" si="175"/>
        <v>2</v>
      </c>
      <c r="X162" s="21">
        <f t="shared" si="175"/>
        <v>2</v>
      </c>
      <c r="Y162" s="21">
        <f t="shared" si="175"/>
        <v>2</v>
      </c>
      <c r="Z162" s="21">
        <f t="shared" si="175"/>
        <v>2</v>
      </c>
      <c r="AA162" s="21">
        <f t="shared" si="175"/>
        <v>2</v>
      </c>
      <c r="AB162" s="21">
        <f t="shared" si="175"/>
        <v>2</v>
      </c>
      <c r="AC162" s="21">
        <f t="shared" si="175"/>
        <v>2</v>
      </c>
      <c r="AD162" s="21">
        <f t="shared" si="175"/>
        <v>2</v>
      </c>
      <c r="AE162" s="21">
        <f t="shared" si="175"/>
        <v>2</v>
      </c>
      <c r="AF162" s="21">
        <f t="shared" si="175"/>
        <v>2</v>
      </c>
    </row>
    <row r="163" spans="4:32" ht="12.75">
      <c r="D163" s="7" t="s">
        <v>19</v>
      </c>
      <c r="F163" s="21">
        <f aca="true" t="shared" si="176" ref="F163:U163">IF(F79="","",$C37)</f>
        <v>1</v>
      </c>
      <c r="G163" s="21">
        <f t="shared" si="176"/>
        <v>1</v>
      </c>
      <c r="H163" s="21">
        <f t="shared" si="176"/>
        <v>1</v>
      </c>
      <c r="I163" s="21">
        <f t="shared" si="176"/>
        <v>1</v>
      </c>
      <c r="J163" s="21">
        <f t="shared" si="176"/>
        <v>1</v>
      </c>
      <c r="K163" s="21">
        <f t="shared" si="176"/>
        <v>1</v>
      </c>
      <c r="L163" s="21">
        <f t="shared" si="176"/>
        <v>1</v>
      </c>
      <c r="M163" s="21">
        <f t="shared" si="176"/>
        <v>1</v>
      </c>
      <c r="N163" s="21">
        <f t="shared" si="176"/>
        <v>1</v>
      </c>
      <c r="O163" s="21">
        <f t="shared" si="176"/>
        <v>1</v>
      </c>
      <c r="P163" s="21">
        <f t="shared" si="176"/>
        <v>1</v>
      </c>
      <c r="Q163" s="21">
        <f t="shared" si="176"/>
        <v>1</v>
      </c>
      <c r="R163" s="21">
        <f t="shared" si="176"/>
        <v>1</v>
      </c>
      <c r="S163" s="21">
        <f t="shared" si="176"/>
        <v>1</v>
      </c>
      <c r="T163" s="21">
        <f t="shared" si="176"/>
        <v>1</v>
      </c>
      <c r="U163" s="21">
        <f t="shared" si="176"/>
        <v>1</v>
      </c>
      <c r="V163" s="21">
        <f aca="true" t="shared" si="177" ref="V163:AF163">IF(V79="","",$C37)</f>
        <v>1</v>
      </c>
      <c r="W163" s="21">
        <f t="shared" si="177"/>
        <v>1</v>
      </c>
      <c r="X163" s="21">
        <f t="shared" si="177"/>
        <v>1</v>
      </c>
      <c r="Y163" s="21">
        <f t="shared" si="177"/>
        <v>1</v>
      </c>
      <c r="Z163" s="21">
        <f t="shared" si="177"/>
        <v>1</v>
      </c>
      <c r="AA163" s="21">
        <f t="shared" si="177"/>
        <v>1</v>
      </c>
      <c r="AB163" s="21">
        <f t="shared" si="177"/>
        <v>1</v>
      </c>
      <c r="AC163" s="21">
        <f t="shared" si="177"/>
        <v>1</v>
      </c>
      <c r="AD163" s="21">
        <f t="shared" si="177"/>
        <v>1</v>
      </c>
      <c r="AE163" s="21">
        <f t="shared" si="177"/>
        <v>1</v>
      </c>
      <c r="AF163" s="21">
        <f t="shared" si="177"/>
        <v>1</v>
      </c>
    </row>
    <row r="164" spans="4:32" ht="12.75">
      <c r="D164" s="9" t="s">
        <v>20</v>
      </c>
      <c r="F164" s="21">
        <f aca="true" t="shared" si="178" ref="F164:U164">IF(F80="","",$C38)</f>
      </c>
      <c r="G164" s="21">
        <f t="shared" si="178"/>
      </c>
      <c r="H164" s="21">
        <f t="shared" si="178"/>
      </c>
      <c r="I164" s="21">
        <f t="shared" si="178"/>
      </c>
      <c r="J164" s="21">
        <f t="shared" si="178"/>
      </c>
      <c r="K164" s="21">
        <f t="shared" si="178"/>
      </c>
      <c r="L164" s="21">
        <f t="shared" si="178"/>
      </c>
      <c r="M164" s="21">
        <f t="shared" si="178"/>
      </c>
      <c r="N164" s="21">
        <f t="shared" si="178"/>
      </c>
      <c r="O164" s="21">
        <f t="shared" si="178"/>
      </c>
      <c r="P164" s="21">
        <f t="shared" si="178"/>
      </c>
      <c r="Q164" s="21">
        <f t="shared" si="178"/>
      </c>
      <c r="R164" s="21">
        <f t="shared" si="178"/>
      </c>
      <c r="S164" s="21">
        <f t="shared" si="178"/>
      </c>
      <c r="T164" s="21">
        <f t="shared" si="178"/>
      </c>
      <c r="U164" s="21">
        <f t="shared" si="178"/>
      </c>
      <c r="V164" s="21">
        <f aca="true" t="shared" si="179" ref="V164:AF164">IF(V80="","",$C38)</f>
      </c>
      <c r="W164" s="21">
        <f t="shared" si="179"/>
      </c>
      <c r="X164" s="21">
        <f t="shared" si="179"/>
      </c>
      <c r="Y164" s="21">
        <f t="shared" si="179"/>
      </c>
      <c r="Z164" s="21">
        <f t="shared" si="179"/>
      </c>
      <c r="AA164" s="21">
        <f t="shared" si="179"/>
      </c>
      <c r="AB164" s="21">
        <f t="shared" si="179"/>
      </c>
      <c r="AC164" s="21">
        <f t="shared" si="179"/>
      </c>
      <c r="AD164" s="21">
        <f t="shared" si="179"/>
      </c>
      <c r="AE164" s="21">
        <f t="shared" si="179"/>
      </c>
      <c r="AF164" s="21">
        <f t="shared" si="179"/>
      </c>
    </row>
    <row r="165" spans="4:32" ht="12.75">
      <c r="D165" s="7" t="s">
        <v>21</v>
      </c>
      <c r="F165" s="21">
        <f aca="true" t="shared" si="180" ref="F165:U165">IF(F81="","",$C39)</f>
        <v>0.25</v>
      </c>
      <c r="G165" s="21">
        <f t="shared" si="180"/>
        <v>0.25</v>
      </c>
      <c r="H165" s="21">
        <f t="shared" si="180"/>
        <v>0.25</v>
      </c>
      <c r="I165" s="21">
        <f t="shared" si="180"/>
        <v>0.25</v>
      </c>
      <c r="J165" s="21">
        <f t="shared" si="180"/>
        <v>0.25</v>
      </c>
      <c r="K165" s="21">
        <f t="shared" si="180"/>
        <v>0.25</v>
      </c>
      <c r="L165" s="21">
        <f t="shared" si="180"/>
      </c>
      <c r="M165" s="21">
        <f t="shared" si="180"/>
      </c>
      <c r="N165" s="21">
        <f t="shared" si="180"/>
        <v>0.25</v>
      </c>
      <c r="O165" s="21">
        <f t="shared" si="180"/>
        <v>0.25</v>
      </c>
      <c r="P165" s="21">
        <f t="shared" si="180"/>
        <v>0.25</v>
      </c>
      <c r="Q165" s="21">
        <f t="shared" si="180"/>
        <v>0.25</v>
      </c>
      <c r="R165" s="21">
        <f t="shared" si="180"/>
        <v>0.25</v>
      </c>
      <c r="S165" s="21">
        <f t="shared" si="180"/>
      </c>
      <c r="T165" s="21">
        <f t="shared" si="180"/>
      </c>
      <c r="U165" s="21">
        <f t="shared" si="180"/>
      </c>
      <c r="V165" s="21">
        <f aca="true" t="shared" si="181" ref="V165:AF165">IF(V81="","",$C39)</f>
      </c>
      <c r="W165" s="21">
        <f t="shared" si="181"/>
      </c>
      <c r="X165" s="21">
        <f t="shared" si="181"/>
      </c>
      <c r="Y165" s="21">
        <f t="shared" si="181"/>
      </c>
      <c r="Z165" s="21">
        <f t="shared" si="181"/>
      </c>
      <c r="AA165" s="21">
        <f t="shared" si="181"/>
      </c>
      <c r="AB165" s="21">
        <f t="shared" si="181"/>
      </c>
      <c r="AC165" s="21">
        <f t="shared" si="181"/>
      </c>
      <c r="AD165" s="21">
        <f t="shared" si="181"/>
      </c>
      <c r="AE165" s="21">
        <f t="shared" si="181"/>
      </c>
      <c r="AF165" s="21">
        <f t="shared" si="181"/>
      </c>
    </row>
    <row r="166" spans="4:32" ht="12.75">
      <c r="D166" s="9" t="s">
        <v>22</v>
      </c>
      <c r="F166" s="21">
        <f aca="true" t="shared" si="182" ref="F166:U166">IF(F82="","",$C40)</f>
        <v>0.25</v>
      </c>
      <c r="G166" s="21">
        <f t="shared" si="182"/>
        <v>0.25</v>
      </c>
      <c r="H166" s="21">
        <f t="shared" si="182"/>
        <v>0.25</v>
      </c>
      <c r="I166" s="21">
        <f t="shared" si="182"/>
        <v>0.25</v>
      </c>
      <c r="J166" s="21">
        <f t="shared" si="182"/>
        <v>0.25</v>
      </c>
      <c r="K166" s="21">
        <f t="shared" si="182"/>
        <v>0.25</v>
      </c>
      <c r="L166" s="21">
        <f t="shared" si="182"/>
      </c>
      <c r="M166" s="21">
        <f t="shared" si="182"/>
      </c>
      <c r="N166" s="21">
        <f t="shared" si="182"/>
        <v>0.25</v>
      </c>
      <c r="O166" s="21">
        <f t="shared" si="182"/>
        <v>0.25</v>
      </c>
      <c r="P166" s="21">
        <f t="shared" si="182"/>
        <v>0.25</v>
      </c>
      <c r="Q166" s="21">
        <f t="shared" si="182"/>
        <v>0.25</v>
      </c>
      <c r="R166" s="21">
        <f t="shared" si="182"/>
        <v>0.25</v>
      </c>
      <c r="S166" s="21">
        <f t="shared" si="182"/>
      </c>
      <c r="T166" s="21">
        <f t="shared" si="182"/>
      </c>
      <c r="U166" s="21">
        <f t="shared" si="182"/>
      </c>
      <c r="V166" s="21">
        <f aca="true" t="shared" si="183" ref="V166:AF166">IF(V82="","",$C40)</f>
      </c>
      <c r="W166" s="21">
        <f t="shared" si="183"/>
      </c>
      <c r="X166" s="21">
        <f t="shared" si="183"/>
      </c>
      <c r="Y166" s="21">
        <f t="shared" si="183"/>
      </c>
      <c r="Z166" s="21">
        <f t="shared" si="183"/>
      </c>
      <c r="AA166" s="21">
        <f t="shared" si="183"/>
      </c>
      <c r="AB166" s="21">
        <f t="shared" si="183"/>
      </c>
      <c r="AC166" s="21">
        <f t="shared" si="183"/>
      </c>
      <c r="AD166" s="21">
        <f t="shared" si="183"/>
      </c>
      <c r="AE166" s="21">
        <f t="shared" si="183"/>
      </c>
      <c r="AF166" s="21">
        <f t="shared" si="183"/>
      </c>
    </row>
    <row r="167" spans="4:32" ht="12.75">
      <c r="D167" s="9" t="s">
        <v>23</v>
      </c>
      <c r="F167" s="21">
        <f aca="true" t="shared" si="184" ref="F167:U167">IF(F83="","",$C41)</f>
        <v>0.25</v>
      </c>
      <c r="G167" s="21">
        <f t="shared" si="184"/>
        <v>0.25</v>
      </c>
      <c r="H167" s="21">
        <f t="shared" si="184"/>
        <v>0.25</v>
      </c>
      <c r="I167" s="21">
        <f t="shared" si="184"/>
        <v>0.25</v>
      </c>
      <c r="J167" s="21">
        <f t="shared" si="184"/>
        <v>0.25</v>
      </c>
      <c r="K167" s="21">
        <f t="shared" si="184"/>
        <v>0.25</v>
      </c>
      <c r="L167" s="21">
        <f t="shared" si="184"/>
      </c>
      <c r="M167" s="21">
        <f t="shared" si="184"/>
      </c>
      <c r="N167" s="21">
        <f t="shared" si="184"/>
        <v>0.25</v>
      </c>
      <c r="O167" s="21">
        <f t="shared" si="184"/>
        <v>0.25</v>
      </c>
      <c r="P167" s="21">
        <f t="shared" si="184"/>
        <v>0.25</v>
      </c>
      <c r="Q167" s="21">
        <f t="shared" si="184"/>
        <v>0.25</v>
      </c>
      <c r="R167" s="21">
        <f t="shared" si="184"/>
        <v>0.25</v>
      </c>
      <c r="S167" s="21">
        <f t="shared" si="184"/>
      </c>
      <c r="T167" s="21">
        <f t="shared" si="184"/>
      </c>
      <c r="U167" s="21">
        <f t="shared" si="184"/>
      </c>
      <c r="V167" s="21">
        <f aca="true" t="shared" si="185" ref="V167:AF167">IF(V83="","",$C41)</f>
      </c>
      <c r="W167" s="21">
        <f t="shared" si="185"/>
      </c>
      <c r="X167" s="21">
        <f t="shared" si="185"/>
      </c>
      <c r="Y167" s="21">
        <f t="shared" si="185"/>
      </c>
      <c r="Z167" s="21">
        <f t="shared" si="185"/>
      </c>
      <c r="AA167" s="21">
        <f t="shared" si="185"/>
      </c>
      <c r="AB167" s="21">
        <f t="shared" si="185"/>
      </c>
      <c r="AC167" s="21">
        <f t="shared" si="185"/>
      </c>
      <c r="AD167" s="21">
        <f t="shared" si="185"/>
      </c>
      <c r="AE167" s="21">
        <f t="shared" si="185"/>
      </c>
      <c r="AF167" s="21">
        <f t="shared" si="185"/>
      </c>
    </row>
    <row r="168" spans="4:32" ht="12.75">
      <c r="D168" s="9" t="s">
        <v>24</v>
      </c>
      <c r="F168" s="21">
        <f aca="true" t="shared" si="186" ref="F168:U168">IF(F84="","",$C42)</f>
        <v>0.25</v>
      </c>
      <c r="G168" s="21">
        <f t="shared" si="186"/>
        <v>0.25</v>
      </c>
      <c r="H168" s="21">
        <f t="shared" si="186"/>
        <v>0.25</v>
      </c>
      <c r="I168" s="21">
        <f t="shared" si="186"/>
        <v>0.25</v>
      </c>
      <c r="J168" s="21">
        <f t="shared" si="186"/>
        <v>0.25</v>
      </c>
      <c r="K168" s="21">
        <f t="shared" si="186"/>
        <v>0.25</v>
      </c>
      <c r="L168" s="21">
        <f t="shared" si="186"/>
      </c>
      <c r="M168" s="21">
        <f t="shared" si="186"/>
      </c>
      <c r="N168" s="21">
        <f t="shared" si="186"/>
        <v>0.25</v>
      </c>
      <c r="O168" s="21">
        <f t="shared" si="186"/>
        <v>0.25</v>
      </c>
      <c r="P168" s="21">
        <f t="shared" si="186"/>
        <v>0.25</v>
      </c>
      <c r="Q168" s="21">
        <f t="shared" si="186"/>
        <v>0.25</v>
      </c>
      <c r="R168" s="21">
        <f t="shared" si="186"/>
        <v>0.25</v>
      </c>
      <c r="S168" s="21">
        <f t="shared" si="186"/>
      </c>
      <c r="T168" s="21">
        <f t="shared" si="186"/>
      </c>
      <c r="U168" s="21">
        <f t="shared" si="186"/>
      </c>
      <c r="V168" s="21">
        <f aca="true" t="shared" si="187" ref="V168:AF168">IF(V84="","",$C42)</f>
      </c>
      <c r="W168" s="21">
        <f t="shared" si="187"/>
      </c>
      <c r="X168" s="21">
        <f t="shared" si="187"/>
      </c>
      <c r="Y168" s="21">
        <f t="shared" si="187"/>
      </c>
      <c r="Z168" s="21">
        <f t="shared" si="187"/>
      </c>
      <c r="AA168" s="21">
        <f t="shared" si="187"/>
      </c>
      <c r="AB168" s="21">
        <f t="shared" si="187"/>
      </c>
      <c r="AC168" s="21">
        <f t="shared" si="187"/>
      </c>
      <c r="AD168" s="21">
        <f t="shared" si="187"/>
      </c>
      <c r="AE168" s="21">
        <f t="shared" si="187"/>
      </c>
      <c r="AF168" s="21">
        <f t="shared" si="187"/>
      </c>
    </row>
    <row r="169" spans="4:32" ht="12.75">
      <c r="D169" s="27"/>
      <c r="F169" s="21">
        <f aca="true" t="shared" si="188" ref="F169:U169">IF(F85="","",$C43)</f>
      </c>
      <c r="G169" s="21">
        <f t="shared" si="188"/>
      </c>
      <c r="H169" s="21">
        <f t="shared" si="188"/>
      </c>
      <c r="I169" s="21">
        <f t="shared" si="188"/>
      </c>
      <c r="J169" s="21">
        <f t="shared" si="188"/>
      </c>
      <c r="K169" s="21">
        <f t="shared" si="188"/>
      </c>
      <c r="L169" s="21">
        <f t="shared" si="188"/>
      </c>
      <c r="M169" s="21">
        <f t="shared" si="188"/>
      </c>
      <c r="N169" s="21">
        <f t="shared" si="188"/>
      </c>
      <c r="O169" s="21">
        <f t="shared" si="188"/>
      </c>
      <c r="P169" s="21">
        <f t="shared" si="188"/>
      </c>
      <c r="Q169" s="21">
        <f t="shared" si="188"/>
      </c>
      <c r="R169" s="21">
        <f t="shared" si="188"/>
      </c>
      <c r="S169" s="21">
        <f t="shared" si="188"/>
      </c>
      <c r="T169" s="21">
        <f t="shared" si="188"/>
      </c>
      <c r="U169" s="21">
        <f t="shared" si="188"/>
      </c>
      <c r="V169" s="21">
        <f aca="true" t="shared" si="189" ref="V169:AF169">IF(V85="","",$C43)</f>
      </c>
      <c r="W169" s="21">
        <f t="shared" si="189"/>
      </c>
      <c r="X169" s="21">
        <f t="shared" si="189"/>
      </c>
      <c r="Y169" s="21">
        <f t="shared" si="189"/>
      </c>
      <c r="Z169" s="21">
        <f t="shared" si="189"/>
      </c>
      <c r="AA169" s="21">
        <f t="shared" si="189"/>
      </c>
      <c r="AB169" s="21">
        <f t="shared" si="189"/>
      </c>
      <c r="AC169" s="21">
        <f t="shared" si="189"/>
      </c>
      <c r="AD169" s="21">
        <f t="shared" si="189"/>
      </c>
      <c r="AE169" s="21">
        <f t="shared" si="189"/>
      </c>
      <c r="AF169" s="21">
        <f t="shared" si="189"/>
      </c>
    </row>
    <row r="170" spans="4:32" ht="12.75">
      <c r="D170" s="9" t="s">
        <v>28</v>
      </c>
      <c r="F170" s="21">
        <f aca="true" t="shared" si="190" ref="F170:U170">IF(F86="","",$C44)</f>
      </c>
      <c r="G170" s="21">
        <f t="shared" si="190"/>
      </c>
      <c r="H170" s="21">
        <f t="shared" si="190"/>
        <v>0.026</v>
      </c>
      <c r="I170" s="21">
        <f t="shared" si="190"/>
        <v>0.026</v>
      </c>
      <c r="J170" s="21">
        <f t="shared" si="190"/>
        <v>0.026</v>
      </c>
      <c r="K170" s="21">
        <f t="shared" si="190"/>
        <v>0.026</v>
      </c>
      <c r="L170" s="21">
        <f t="shared" si="190"/>
      </c>
      <c r="M170" s="21">
        <f t="shared" si="190"/>
      </c>
      <c r="N170" s="21">
        <f t="shared" si="190"/>
        <v>0.026</v>
      </c>
      <c r="O170" s="21">
        <f t="shared" si="190"/>
        <v>0.026</v>
      </c>
      <c r="P170" s="21">
        <f t="shared" si="190"/>
      </c>
      <c r="Q170" s="21">
        <f t="shared" si="190"/>
      </c>
      <c r="R170" s="21">
        <f t="shared" si="190"/>
        <v>0.026</v>
      </c>
      <c r="S170" s="21">
        <f t="shared" si="190"/>
      </c>
      <c r="T170" s="21">
        <f t="shared" si="190"/>
      </c>
      <c r="U170" s="21">
        <f t="shared" si="190"/>
      </c>
      <c r="V170" s="21">
        <f aca="true" t="shared" si="191" ref="V170:AF170">IF(V86="","",$C44)</f>
      </c>
      <c r="W170" s="21">
        <f t="shared" si="191"/>
      </c>
      <c r="X170" s="21">
        <f t="shared" si="191"/>
      </c>
      <c r="Y170" s="21">
        <f t="shared" si="191"/>
      </c>
      <c r="Z170" s="21">
        <f t="shared" si="191"/>
      </c>
      <c r="AA170" s="21">
        <f t="shared" si="191"/>
      </c>
      <c r="AB170" s="21">
        <f t="shared" si="191"/>
      </c>
      <c r="AC170" s="21">
        <f t="shared" si="191"/>
      </c>
      <c r="AD170" s="21">
        <f t="shared" si="191"/>
      </c>
      <c r="AE170" s="21">
        <f t="shared" si="191"/>
      </c>
      <c r="AF170" s="21">
        <f t="shared" si="191"/>
      </c>
    </row>
    <row r="171" spans="4:32" ht="12.75">
      <c r="D171" s="9" t="s">
        <v>29</v>
      </c>
      <c r="F171" s="21">
        <f aca="true" t="shared" si="192" ref="F171:U171">IF(F87="","",$C45)</f>
      </c>
      <c r="G171" s="21">
        <f t="shared" si="192"/>
      </c>
      <c r="H171" s="21">
        <f t="shared" si="192"/>
        <v>0.026</v>
      </c>
      <c r="I171" s="21">
        <f t="shared" si="192"/>
        <v>0.026</v>
      </c>
      <c r="J171" s="21">
        <f t="shared" si="192"/>
        <v>0.026</v>
      </c>
      <c r="K171" s="21">
        <f t="shared" si="192"/>
        <v>0.026</v>
      </c>
      <c r="L171" s="21">
        <f t="shared" si="192"/>
      </c>
      <c r="M171" s="21">
        <f t="shared" si="192"/>
      </c>
      <c r="N171" s="21">
        <f t="shared" si="192"/>
        <v>0.026</v>
      </c>
      <c r="O171" s="21">
        <f t="shared" si="192"/>
        <v>0.026</v>
      </c>
      <c r="P171" s="21">
        <f t="shared" si="192"/>
      </c>
      <c r="Q171" s="21">
        <f t="shared" si="192"/>
      </c>
      <c r="R171" s="21">
        <f t="shared" si="192"/>
        <v>0.026</v>
      </c>
      <c r="S171" s="21">
        <f t="shared" si="192"/>
      </c>
      <c r="T171" s="21">
        <f t="shared" si="192"/>
      </c>
      <c r="U171" s="21">
        <f t="shared" si="192"/>
      </c>
      <c r="V171" s="21">
        <f aca="true" t="shared" si="193" ref="V171:AF171">IF(V87="","",$C45)</f>
      </c>
      <c r="W171" s="21">
        <f t="shared" si="193"/>
      </c>
      <c r="X171" s="21">
        <f t="shared" si="193"/>
      </c>
      <c r="Y171" s="21">
        <f t="shared" si="193"/>
      </c>
      <c r="Z171" s="21">
        <f t="shared" si="193"/>
      </c>
      <c r="AA171" s="21">
        <f t="shared" si="193"/>
      </c>
      <c r="AB171" s="21">
        <f t="shared" si="193"/>
      </c>
      <c r="AC171" s="21">
        <f t="shared" si="193"/>
      </c>
      <c r="AD171" s="21">
        <f t="shared" si="193"/>
      </c>
      <c r="AE171" s="21">
        <f t="shared" si="193"/>
      </c>
      <c r="AF171" s="21">
        <f t="shared" si="193"/>
      </c>
    </row>
    <row r="172" spans="4:32" ht="12.75">
      <c r="D172" s="9" t="s">
        <v>30</v>
      </c>
      <c r="F172" s="21">
        <f aca="true" t="shared" si="194" ref="F172:U172">IF(F88="","",$C46)</f>
      </c>
      <c r="G172" s="21">
        <f t="shared" si="194"/>
      </c>
      <c r="H172" s="21">
        <f t="shared" si="194"/>
        <v>0.026</v>
      </c>
      <c r="I172" s="21">
        <f t="shared" si="194"/>
        <v>0.026</v>
      </c>
      <c r="J172" s="21">
        <f t="shared" si="194"/>
        <v>0.026</v>
      </c>
      <c r="K172" s="21">
        <f t="shared" si="194"/>
        <v>0.026</v>
      </c>
      <c r="L172" s="21">
        <f t="shared" si="194"/>
      </c>
      <c r="M172" s="21">
        <f t="shared" si="194"/>
      </c>
      <c r="N172" s="21">
        <f t="shared" si="194"/>
        <v>0.026</v>
      </c>
      <c r="O172" s="21">
        <f t="shared" si="194"/>
        <v>0.026</v>
      </c>
      <c r="P172" s="21">
        <f t="shared" si="194"/>
      </c>
      <c r="Q172" s="21">
        <f t="shared" si="194"/>
      </c>
      <c r="R172" s="21">
        <f t="shared" si="194"/>
        <v>0.026</v>
      </c>
      <c r="S172" s="21">
        <f t="shared" si="194"/>
      </c>
      <c r="T172" s="21">
        <f t="shared" si="194"/>
      </c>
      <c r="U172" s="21">
        <f t="shared" si="194"/>
      </c>
      <c r="V172" s="21">
        <f aca="true" t="shared" si="195" ref="V172:AF172">IF(V88="","",$C46)</f>
      </c>
      <c r="W172" s="21">
        <f t="shared" si="195"/>
      </c>
      <c r="X172" s="21">
        <f t="shared" si="195"/>
      </c>
      <c r="Y172" s="21">
        <f t="shared" si="195"/>
      </c>
      <c r="Z172" s="21">
        <f t="shared" si="195"/>
      </c>
      <c r="AA172" s="21">
        <f t="shared" si="195"/>
      </c>
      <c r="AB172" s="21">
        <f t="shared" si="195"/>
      </c>
      <c r="AC172" s="21">
        <f t="shared" si="195"/>
      </c>
      <c r="AD172" s="21">
        <f t="shared" si="195"/>
      </c>
      <c r="AE172" s="21">
        <f t="shared" si="195"/>
      </c>
      <c r="AF172" s="21">
        <f t="shared" si="195"/>
      </c>
    </row>
    <row r="173" spans="4:32" ht="12.75">
      <c r="D173" s="10" t="s">
        <v>31</v>
      </c>
      <c r="F173" s="21">
        <f aca="true" t="shared" si="196" ref="F173:U173">IF(F89="","",$C47)</f>
      </c>
      <c r="G173" s="21">
        <f t="shared" si="196"/>
      </c>
      <c r="H173" s="21">
        <f t="shared" si="196"/>
        <v>0.078</v>
      </c>
      <c r="I173" s="21">
        <f t="shared" si="196"/>
        <v>0.078</v>
      </c>
      <c r="J173" s="21">
        <f t="shared" si="196"/>
        <v>0.078</v>
      </c>
      <c r="K173" s="21">
        <f t="shared" si="196"/>
        <v>0.078</v>
      </c>
      <c r="L173" s="21">
        <f t="shared" si="196"/>
      </c>
      <c r="M173" s="21">
        <f t="shared" si="196"/>
      </c>
      <c r="N173" s="21">
        <f t="shared" si="196"/>
        <v>0.078</v>
      </c>
      <c r="O173" s="21">
        <f t="shared" si="196"/>
        <v>0.078</v>
      </c>
      <c r="P173" s="21">
        <f t="shared" si="196"/>
      </c>
      <c r="Q173" s="21">
        <f t="shared" si="196"/>
      </c>
      <c r="R173" s="21">
        <f t="shared" si="196"/>
        <v>0.078</v>
      </c>
      <c r="S173" s="21">
        <f t="shared" si="196"/>
      </c>
      <c r="T173" s="21">
        <f t="shared" si="196"/>
      </c>
      <c r="U173" s="21">
        <f t="shared" si="196"/>
      </c>
      <c r="V173" s="21">
        <f aca="true" t="shared" si="197" ref="V173:AF173">IF(V89="","",$C47)</f>
      </c>
      <c r="W173" s="21">
        <f t="shared" si="197"/>
      </c>
      <c r="X173" s="21">
        <f t="shared" si="197"/>
      </c>
      <c r="Y173" s="21">
        <f t="shared" si="197"/>
      </c>
      <c r="Z173" s="21">
        <f t="shared" si="197"/>
      </c>
      <c r="AA173" s="21">
        <f t="shared" si="197"/>
      </c>
      <c r="AB173" s="21">
        <f t="shared" si="197"/>
      </c>
      <c r="AC173" s="21">
        <f t="shared" si="197"/>
      </c>
      <c r="AD173" s="21">
        <f t="shared" si="197"/>
      </c>
      <c r="AE173" s="21">
        <f t="shared" si="197"/>
      </c>
      <c r="AF173" s="21">
        <f t="shared" si="197"/>
      </c>
    </row>
    <row r="174" spans="4:32" ht="12.75">
      <c r="D174" s="9" t="s">
        <v>32</v>
      </c>
      <c r="F174" s="21">
        <f aca="true" t="shared" si="198" ref="F174:U174">IF(F90="","",$C48)</f>
      </c>
      <c r="G174" s="21">
        <f t="shared" si="198"/>
      </c>
      <c r="H174" s="21">
        <f t="shared" si="198"/>
        <v>0.026</v>
      </c>
      <c r="I174" s="21">
        <f t="shared" si="198"/>
        <v>0.026</v>
      </c>
      <c r="J174" s="21">
        <f t="shared" si="198"/>
        <v>0.026</v>
      </c>
      <c r="K174" s="21">
        <f t="shared" si="198"/>
        <v>0.026</v>
      </c>
      <c r="L174" s="21">
        <f t="shared" si="198"/>
      </c>
      <c r="M174" s="21">
        <f t="shared" si="198"/>
      </c>
      <c r="N174" s="21">
        <f t="shared" si="198"/>
        <v>0.026</v>
      </c>
      <c r="O174" s="21">
        <f t="shared" si="198"/>
        <v>0.026</v>
      </c>
      <c r="P174" s="21">
        <f t="shared" si="198"/>
      </c>
      <c r="Q174" s="21">
        <f t="shared" si="198"/>
      </c>
      <c r="R174" s="21">
        <f t="shared" si="198"/>
        <v>0.026</v>
      </c>
      <c r="S174" s="21">
        <f t="shared" si="198"/>
      </c>
      <c r="T174" s="21">
        <f t="shared" si="198"/>
      </c>
      <c r="U174" s="21">
        <f t="shared" si="198"/>
      </c>
      <c r="V174" s="21">
        <f aca="true" t="shared" si="199" ref="V174:AF174">IF(V90="","",$C48)</f>
      </c>
      <c r="W174" s="21">
        <f t="shared" si="199"/>
      </c>
      <c r="X174" s="21">
        <f t="shared" si="199"/>
      </c>
      <c r="Y174" s="21">
        <f t="shared" si="199"/>
      </c>
      <c r="Z174" s="21">
        <f t="shared" si="199"/>
      </c>
      <c r="AA174" s="21">
        <f t="shared" si="199"/>
      </c>
      <c r="AB174" s="21">
        <f t="shared" si="199"/>
      </c>
      <c r="AC174" s="21">
        <f t="shared" si="199"/>
      </c>
      <c r="AD174" s="21">
        <f t="shared" si="199"/>
      </c>
      <c r="AE174" s="21">
        <f t="shared" si="199"/>
      </c>
      <c r="AF174" s="21">
        <f t="shared" si="199"/>
      </c>
    </row>
    <row r="175" spans="4:32" ht="12.75">
      <c r="D175" s="9" t="s">
        <v>33</v>
      </c>
      <c r="F175" s="21">
        <f aca="true" t="shared" si="200" ref="F175:U175">IF(F91="","",$C49)</f>
      </c>
      <c r="G175" s="21">
        <f t="shared" si="200"/>
      </c>
      <c r="H175" s="21">
        <f t="shared" si="200"/>
        <v>0.026</v>
      </c>
      <c r="I175" s="21">
        <f t="shared" si="200"/>
        <v>0.026</v>
      </c>
      <c r="J175" s="21">
        <f t="shared" si="200"/>
        <v>0.026</v>
      </c>
      <c r="K175" s="21">
        <f t="shared" si="200"/>
        <v>0.026</v>
      </c>
      <c r="L175" s="21">
        <f t="shared" si="200"/>
      </c>
      <c r="M175" s="21">
        <f t="shared" si="200"/>
      </c>
      <c r="N175" s="21">
        <f t="shared" si="200"/>
        <v>0.026</v>
      </c>
      <c r="O175" s="21">
        <f t="shared" si="200"/>
        <v>0.026</v>
      </c>
      <c r="P175" s="21">
        <f t="shared" si="200"/>
      </c>
      <c r="Q175" s="21">
        <f t="shared" si="200"/>
      </c>
      <c r="R175" s="21">
        <f t="shared" si="200"/>
        <v>0.026</v>
      </c>
      <c r="S175" s="21">
        <f t="shared" si="200"/>
      </c>
      <c r="T175" s="21">
        <f t="shared" si="200"/>
      </c>
      <c r="U175" s="21">
        <f t="shared" si="200"/>
      </c>
      <c r="V175" s="21">
        <f aca="true" t="shared" si="201" ref="V175:AF175">IF(V91="","",$C49)</f>
      </c>
      <c r="W175" s="21">
        <f t="shared" si="201"/>
      </c>
      <c r="X175" s="21">
        <f t="shared" si="201"/>
      </c>
      <c r="Y175" s="21">
        <f t="shared" si="201"/>
      </c>
      <c r="Z175" s="21">
        <f t="shared" si="201"/>
      </c>
      <c r="AA175" s="21">
        <f t="shared" si="201"/>
      </c>
      <c r="AB175" s="21">
        <f t="shared" si="201"/>
      </c>
      <c r="AC175" s="21">
        <f t="shared" si="201"/>
      </c>
      <c r="AD175" s="21">
        <f t="shared" si="201"/>
      </c>
      <c r="AE175" s="21">
        <f t="shared" si="201"/>
      </c>
      <c r="AF175" s="21">
        <f t="shared" si="201"/>
      </c>
    </row>
    <row r="176" spans="4:32" ht="12.75">
      <c r="D176" s="9" t="s">
        <v>34</v>
      </c>
      <c r="F176" s="21">
        <f aca="true" t="shared" si="202" ref="F176:U176">IF(F92="","",$C50)</f>
      </c>
      <c r="G176" s="21">
        <f t="shared" si="202"/>
      </c>
      <c r="H176" s="21">
        <f t="shared" si="202"/>
        <v>0.026</v>
      </c>
      <c r="I176" s="21">
        <f t="shared" si="202"/>
        <v>0.026</v>
      </c>
      <c r="J176" s="21">
        <f t="shared" si="202"/>
        <v>0.026</v>
      </c>
      <c r="K176" s="21">
        <f t="shared" si="202"/>
        <v>0.026</v>
      </c>
      <c r="L176" s="21">
        <f t="shared" si="202"/>
      </c>
      <c r="M176" s="21">
        <f t="shared" si="202"/>
      </c>
      <c r="N176" s="21">
        <f t="shared" si="202"/>
        <v>0.026</v>
      </c>
      <c r="O176" s="21">
        <f t="shared" si="202"/>
        <v>0.026</v>
      </c>
      <c r="P176" s="21">
        <f t="shared" si="202"/>
      </c>
      <c r="Q176" s="21">
        <f t="shared" si="202"/>
      </c>
      <c r="R176" s="21">
        <f t="shared" si="202"/>
        <v>0.026</v>
      </c>
      <c r="S176" s="21">
        <f t="shared" si="202"/>
      </c>
      <c r="T176" s="21">
        <f t="shared" si="202"/>
      </c>
      <c r="U176" s="21">
        <f t="shared" si="202"/>
      </c>
      <c r="V176" s="21">
        <f aca="true" t="shared" si="203" ref="V176:AF176">IF(V92="","",$C50)</f>
      </c>
      <c r="W176" s="21">
        <f t="shared" si="203"/>
      </c>
      <c r="X176" s="21">
        <f t="shared" si="203"/>
      </c>
      <c r="Y176" s="21">
        <f t="shared" si="203"/>
      </c>
      <c r="Z176" s="21">
        <f t="shared" si="203"/>
      </c>
      <c r="AA176" s="21">
        <f t="shared" si="203"/>
      </c>
      <c r="AB176" s="21">
        <f t="shared" si="203"/>
      </c>
      <c r="AC176" s="21">
        <f t="shared" si="203"/>
      </c>
      <c r="AD176" s="21">
        <f t="shared" si="203"/>
      </c>
      <c r="AE176" s="21">
        <f t="shared" si="203"/>
      </c>
      <c r="AF176" s="21">
        <f t="shared" si="203"/>
      </c>
    </row>
    <row r="177" spans="4:32" ht="12.75">
      <c r="D177" s="9" t="s">
        <v>35</v>
      </c>
      <c r="F177" s="21">
        <f aca="true" t="shared" si="204" ref="F177:U177">IF(F93="","",$C51)</f>
      </c>
      <c r="G177" s="21">
        <f t="shared" si="204"/>
      </c>
      <c r="H177" s="21">
        <f t="shared" si="204"/>
        <v>0.026</v>
      </c>
      <c r="I177" s="21">
        <f t="shared" si="204"/>
        <v>0.026</v>
      </c>
      <c r="J177" s="21">
        <f t="shared" si="204"/>
        <v>0.026</v>
      </c>
      <c r="K177" s="21">
        <f t="shared" si="204"/>
        <v>0.026</v>
      </c>
      <c r="L177" s="21">
        <f t="shared" si="204"/>
      </c>
      <c r="M177" s="21">
        <f t="shared" si="204"/>
      </c>
      <c r="N177" s="21">
        <f t="shared" si="204"/>
        <v>0.026</v>
      </c>
      <c r="O177" s="21">
        <f t="shared" si="204"/>
        <v>0.026</v>
      </c>
      <c r="P177" s="21">
        <f t="shared" si="204"/>
      </c>
      <c r="Q177" s="21">
        <f t="shared" si="204"/>
      </c>
      <c r="R177" s="21">
        <f t="shared" si="204"/>
        <v>0.026</v>
      </c>
      <c r="S177" s="21">
        <f t="shared" si="204"/>
      </c>
      <c r="T177" s="21">
        <f t="shared" si="204"/>
      </c>
      <c r="U177" s="21">
        <f t="shared" si="204"/>
      </c>
      <c r="V177" s="21">
        <f aca="true" t="shared" si="205" ref="V177:AF177">IF(V93="","",$C51)</f>
      </c>
      <c r="W177" s="21">
        <f t="shared" si="205"/>
      </c>
      <c r="X177" s="21">
        <f t="shared" si="205"/>
      </c>
      <c r="Y177" s="21">
        <f t="shared" si="205"/>
      </c>
      <c r="Z177" s="21">
        <f t="shared" si="205"/>
      </c>
      <c r="AA177" s="21">
        <f t="shared" si="205"/>
      </c>
      <c r="AB177" s="21">
        <f t="shared" si="205"/>
      </c>
      <c r="AC177" s="21">
        <f t="shared" si="205"/>
      </c>
      <c r="AD177" s="21">
        <f t="shared" si="205"/>
      </c>
      <c r="AE177" s="21">
        <f t="shared" si="205"/>
      </c>
      <c r="AF177" s="21">
        <f t="shared" si="205"/>
      </c>
    </row>
    <row r="178" spans="4:32" ht="12.75">
      <c r="D178" s="9" t="s">
        <v>36</v>
      </c>
      <c r="F178" s="21">
        <f aca="true" t="shared" si="206" ref="F178:U178">IF(F94="","",$C52)</f>
      </c>
      <c r="G178" s="21">
        <f t="shared" si="206"/>
      </c>
      <c r="H178" s="21">
        <f t="shared" si="206"/>
        <v>0.026</v>
      </c>
      <c r="I178" s="21">
        <f t="shared" si="206"/>
        <v>0.026</v>
      </c>
      <c r="J178" s="21">
        <f t="shared" si="206"/>
        <v>0.026</v>
      </c>
      <c r="K178" s="21">
        <f t="shared" si="206"/>
        <v>0.026</v>
      </c>
      <c r="L178" s="21">
        <f t="shared" si="206"/>
      </c>
      <c r="M178" s="21">
        <f t="shared" si="206"/>
      </c>
      <c r="N178" s="21">
        <f t="shared" si="206"/>
        <v>0.026</v>
      </c>
      <c r="O178" s="21">
        <f t="shared" si="206"/>
        <v>0.026</v>
      </c>
      <c r="P178" s="21">
        <f t="shared" si="206"/>
      </c>
      <c r="Q178" s="21">
        <f t="shared" si="206"/>
      </c>
      <c r="R178" s="21">
        <f t="shared" si="206"/>
        <v>0.026</v>
      </c>
      <c r="S178" s="21">
        <f t="shared" si="206"/>
      </c>
      <c r="T178" s="21">
        <f t="shared" si="206"/>
      </c>
      <c r="U178" s="21">
        <f t="shared" si="206"/>
      </c>
      <c r="V178" s="21">
        <f aca="true" t="shared" si="207" ref="V178:AF178">IF(V94="","",$C52)</f>
      </c>
      <c r="W178" s="21">
        <f t="shared" si="207"/>
      </c>
      <c r="X178" s="21">
        <f t="shared" si="207"/>
      </c>
      <c r="Y178" s="21">
        <f t="shared" si="207"/>
      </c>
      <c r="Z178" s="21">
        <f t="shared" si="207"/>
      </c>
      <c r="AA178" s="21">
        <f t="shared" si="207"/>
      </c>
      <c r="AB178" s="21">
        <f t="shared" si="207"/>
      </c>
      <c r="AC178" s="21">
        <f t="shared" si="207"/>
      </c>
      <c r="AD178" s="21">
        <f t="shared" si="207"/>
      </c>
      <c r="AE178" s="21">
        <f t="shared" si="207"/>
      </c>
      <c r="AF178" s="21">
        <f t="shared" si="207"/>
      </c>
    </row>
    <row r="179" spans="4:32" ht="12.75">
      <c r="D179" s="9" t="s">
        <v>37</v>
      </c>
      <c r="F179" s="21">
        <f aca="true" t="shared" si="208" ref="F179:U179">IF(F95="","",$C53)</f>
      </c>
      <c r="G179" s="21">
        <f t="shared" si="208"/>
      </c>
      <c r="H179" s="21">
        <f t="shared" si="208"/>
        <v>0.026</v>
      </c>
      <c r="I179" s="21">
        <f t="shared" si="208"/>
        <v>0.026</v>
      </c>
      <c r="J179" s="21">
        <f t="shared" si="208"/>
        <v>0.026</v>
      </c>
      <c r="K179" s="21">
        <f t="shared" si="208"/>
        <v>0.026</v>
      </c>
      <c r="L179" s="21">
        <f t="shared" si="208"/>
      </c>
      <c r="M179" s="21">
        <f t="shared" si="208"/>
      </c>
      <c r="N179" s="21">
        <f t="shared" si="208"/>
        <v>0.026</v>
      </c>
      <c r="O179" s="21">
        <f t="shared" si="208"/>
        <v>0.026</v>
      </c>
      <c r="P179" s="21">
        <f t="shared" si="208"/>
      </c>
      <c r="Q179" s="21">
        <f t="shared" si="208"/>
      </c>
      <c r="R179" s="21">
        <f t="shared" si="208"/>
        <v>0.026</v>
      </c>
      <c r="S179" s="21">
        <f t="shared" si="208"/>
      </c>
      <c r="T179" s="21">
        <f t="shared" si="208"/>
      </c>
      <c r="U179" s="21">
        <f t="shared" si="208"/>
      </c>
      <c r="V179" s="21">
        <f aca="true" t="shared" si="209" ref="V179:AF179">IF(V95="","",$C53)</f>
      </c>
      <c r="W179" s="21">
        <f t="shared" si="209"/>
      </c>
      <c r="X179" s="21">
        <f t="shared" si="209"/>
      </c>
      <c r="Y179" s="21">
        <f t="shared" si="209"/>
      </c>
      <c r="Z179" s="21">
        <f t="shared" si="209"/>
      </c>
      <c r="AA179" s="21">
        <f t="shared" si="209"/>
      </c>
      <c r="AB179" s="21">
        <f t="shared" si="209"/>
      </c>
      <c r="AC179" s="21">
        <f t="shared" si="209"/>
      </c>
      <c r="AD179" s="21">
        <f t="shared" si="209"/>
      </c>
      <c r="AE179" s="21">
        <f t="shared" si="209"/>
      </c>
      <c r="AF179" s="21">
        <f t="shared" si="209"/>
      </c>
    </row>
    <row r="180" spans="4:32" ht="12.75">
      <c r="D180" s="9" t="s">
        <v>38</v>
      </c>
      <c r="F180" s="21">
        <f aca="true" t="shared" si="210" ref="F180:U180">IF(F96="","",$C54)</f>
      </c>
      <c r="G180" s="21">
        <f t="shared" si="210"/>
      </c>
      <c r="H180" s="21">
        <f t="shared" si="210"/>
        <v>0.026</v>
      </c>
      <c r="I180" s="21">
        <f t="shared" si="210"/>
        <v>0.026</v>
      </c>
      <c r="J180" s="21">
        <f t="shared" si="210"/>
        <v>0.026</v>
      </c>
      <c r="K180" s="21">
        <f t="shared" si="210"/>
        <v>0.026</v>
      </c>
      <c r="L180" s="21">
        <f t="shared" si="210"/>
      </c>
      <c r="M180" s="21">
        <f t="shared" si="210"/>
      </c>
      <c r="N180" s="21">
        <f t="shared" si="210"/>
        <v>0.026</v>
      </c>
      <c r="O180" s="21">
        <f t="shared" si="210"/>
        <v>0.026</v>
      </c>
      <c r="P180" s="21">
        <f t="shared" si="210"/>
      </c>
      <c r="Q180" s="21">
        <f t="shared" si="210"/>
      </c>
      <c r="R180" s="21">
        <f t="shared" si="210"/>
        <v>0.026</v>
      </c>
      <c r="S180" s="21">
        <f t="shared" si="210"/>
      </c>
      <c r="T180" s="21">
        <f t="shared" si="210"/>
      </c>
      <c r="U180" s="21">
        <f t="shared" si="210"/>
      </c>
      <c r="V180" s="21">
        <f aca="true" t="shared" si="211" ref="V180:AF180">IF(V96="","",$C54)</f>
      </c>
      <c r="W180" s="21">
        <f t="shared" si="211"/>
      </c>
      <c r="X180" s="21">
        <f t="shared" si="211"/>
      </c>
      <c r="Y180" s="21">
        <f t="shared" si="211"/>
      </c>
      <c r="Z180" s="21">
        <f t="shared" si="211"/>
      </c>
      <c r="AA180" s="21">
        <f t="shared" si="211"/>
      </c>
      <c r="AB180" s="21">
        <f t="shared" si="211"/>
      </c>
      <c r="AC180" s="21">
        <f t="shared" si="211"/>
      </c>
      <c r="AD180" s="21">
        <f t="shared" si="211"/>
      </c>
      <c r="AE180" s="21">
        <f t="shared" si="211"/>
      </c>
      <c r="AF180" s="21">
        <f t="shared" si="211"/>
      </c>
    </row>
    <row r="181" spans="4:32" ht="12.75">
      <c r="D181" s="9" t="s">
        <v>39</v>
      </c>
      <c r="F181" s="21">
        <f aca="true" t="shared" si="212" ref="F181:U181">IF(F97="","",$C55)</f>
      </c>
      <c r="G181" s="21">
        <f t="shared" si="212"/>
      </c>
      <c r="H181" s="21">
        <f t="shared" si="212"/>
        <v>0.026</v>
      </c>
      <c r="I181" s="21">
        <f t="shared" si="212"/>
        <v>0.026</v>
      </c>
      <c r="J181" s="21">
        <f t="shared" si="212"/>
        <v>0.026</v>
      </c>
      <c r="K181" s="21">
        <f t="shared" si="212"/>
        <v>0.026</v>
      </c>
      <c r="L181" s="21">
        <f t="shared" si="212"/>
      </c>
      <c r="M181" s="21">
        <f t="shared" si="212"/>
      </c>
      <c r="N181" s="21">
        <f t="shared" si="212"/>
        <v>0.026</v>
      </c>
      <c r="O181" s="21">
        <f t="shared" si="212"/>
        <v>0.026</v>
      </c>
      <c r="P181" s="21">
        <f t="shared" si="212"/>
      </c>
      <c r="Q181" s="21">
        <f t="shared" si="212"/>
      </c>
      <c r="R181" s="21">
        <f t="shared" si="212"/>
        <v>0.026</v>
      </c>
      <c r="S181" s="21">
        <f t="shared" si="212"/>
      </c>
      <c r="T181" s="21">
        <f t="shared" si="212"/>
      </c>
      <c r="U181" s="21">
        <f t="shared" si="212"/>
      </c>
      <c r="V181" s="21">
        <f aca="true" t="shared" si="213" ref="V181:AF181">IF(V97="","",$C55)</f>
      </c>
      <c r="W181" s="21">
        <f t="shared" si="213"/>
      </c>
      <c r="X181" s="21">
        <f t="shared" si="213"/>
      </c>
      <c r="Y181" s="21">
        <f t="shared" si="213"/>
      </c>
      <c r="Z181" s="21">
        <f t="shared" si="213"/>
      </c>
      <c r="AA181" s="21">
        <f t="shared" si="213"/>
      </c>
      <c r="AB181" s="21">
        <f t="shared" si="213"/>
      </c>
      <c r="AC181" s="21">
        <f t="shared" si="213"/>
      </c>
      <c r="AD181" s="21">
        <f t="shared" si="213"/>
      </c>
      <c r="AE181" s="21">
        <f t="shared" si="213"/>
      </c>
      <c r="AF181" s="21">
        <f t="shared" si="213"/>
      </c>
    </row>
    <row r="182" spans="4:32" ht="12.75">
      <c r="D182" s="9" t="s">
        <v>40</v>
      </c>
      <c r="F182" s="21">
        <f aca="true" t="shared" si="214" ref="F182:U182">IF(F98="","",$C56)</f>
      </c>
      <c r="G182" s="21">
        <f t="shared" si="214"/>
      </c>
      <c r="H182" s="21">
        <f t="shared" si="214"/>
      </c>
      <c r="I182" s="21">
        <f t="shared" si="214"/>
      </c>
      <c r="J182" s="21">
        <f t="shared" si="214"/>
      </c>
      <c r="K182" s="21">
        <f t="shared" si="214"/>
      </c>
      <c r="L182" s="21">
        <f t="shared" si="214"/>
      </c>
      <c r="M182" s="21">
        <f t="shared" si="214"/>
      </c>
      <c r="N182" s="21">
        <f t="shared" si="214"/>
      </c>
      <c r="O182" s="21">
        <f t="shared" si="214"/>
      </c>
      <c r="P182" s="21">
        <f t="shared" si="214"/>
      </c>
      <c r="Q182" s="21">
        <f t="shared" si="214"/>
      </c>
      <c r="R182" s="21">
        <f t="shared" si="214"/>
      </c>
      <c r="S182" s="21">
        <f t="shared" si="214"/>
      </c>
      <c r="T182" s="21">
        <f t="shared" si="214"/>
      </c>
      <c r="U182" s="21">
        <f t="shared" si="214"/>
      </c>
      <c r="V182" s="21">
        <f aca="true" t="shared" si="215" ref="V182:AF182">IF(V98="","",$C56)</f>
      </c>
      <c r="W182" s="21">
        <f t="shared" si="215"/>
      </c>
      <c r="X182" s="21">
        <f t="shared" si="215"/>
      </c>
      <c r="Y182" s="21">
        <f t="shared" si="215"/>
      </c>
      <c r="Z182" s="21">
        <f t="shared" si="215"/>
      </c>
      <c r="AA182" s="21">
        <f t="shared" si="215"/>
      </c>
      <c r="AB182" s="21">
        <f t="shared" si="215"/>
      </c>
      <c r="AC182" s="21">
        <f t="shared" si="215"/>
      </c>
      <c r="AD182" s="21">
        <f t="shared" si="215"/>
      </c>
      <c r="AE182" s="21">
        <f t="shared" si="215"/>
      </c>
      <c r="AF182" s="21">
        <f t="shared" si="215"/>
      </c>
    </row>
    <row r="183" spans="4:32" ht="12.75">
      <c r="D183" s="9" t="s">
        <v>41</v>
      </c>
      <c r="F183" s="21">
        <f aca="true" t="shared" si="216" ref="F183:U183">IF(F99="","",$C57)</f>
      </c>
      <c r="G183" s="21">
        <f t="shared" si="216"/>
      </c>
      <c r="H183" s="21">
        <f t="shared" si="216"/>
        <v>0.026</v>
      </c>
      <c r="I183" s="21">
        <f t="shared" si="216"/>
        <v>0.026</v>
      </c>
      <c r="J183" s="21">
        <f t="shared" si="216"/>
        <v>0.026</v>
      </c>
      <c r="K183" s="21">
        <f t="shared" si="216"/>
        <v>0.026</v>
      </c>
      <c r="L183" s="21">
        <f t="shared" si="216"/>
      </c>
      <c r="M183" s="21">
        <f t="shared" si="216"/>
      </c>
      <c r="N183" s="21">
        <f t="shared" si="216"/>
        <v>0.026</v>
      </c>
      <c r="O183" s="21">
        <f t="shared" si="216"/>
        <v>0.026</v>
      </c>
      <c r="P183" s="21">
        <f t="shared" si="216"/>
      </c>
      <c r="Q183" s="21">
        <f t="shared" si="216"/>
      </c>
      <c r="R183" s="21">
        <f t="shared" si="216"/>
        <v>0.026</v>
      </c>
      <c r="S183" s="21">
        <f t="shared" si="216"/>
      </c>
      <c r="T183" s="21">
        <f t="shared" si="216"/>
      </c>
      <c r="U183" s="21">
        <f t="shared" si="216"/>
      </c>
      <c r="V183" s="21">
        <f aca="true" t="shared" si="217" ref="V183:AF183">IF(V99="","",$C57)</f>
      </c>
      <c r="W183" s="21">
        <f t="shared" si="217"/>
      </c>
      <c r="X183" s="21">
        <f t="shared" si="217"/>
      </c>
      <c r="Y183" s="21">
        <f t="shared" si="217"/>
      </c>
      <c r="Z183" s="21">
        <f t="shared" si="217"/>
      </c>
      <c r="AA183" s="21">
        <f t="shared" si="217"/>
      </c>
      <c r="AB183" s="21">
        <f t="shared" si="217"/>
      </c>
      <c r="AC183" s="21">
        <f t="shared" si="217"/>
      </c>
      <c r="AD183" s="21">
        <f t="shared" si="217"/>
      </c>
      <c r="AE183" s="21">
        <f t="shared" si="217"/>
      </c>
      <c r="AF183" s="21">
        <f t="shared" si="217"/>
      </c>
    </row>
    <row r="184" spans="4:32" ht="12.75">
      <c r="D184" s="10" t="s">
        <v>42</v>
      </c>
      <c r="F184" s="21">
        <f aca="true" t="shared" si="218" ref="F184:U184">IF(F100="","",$C58)</f>
      </c>
      <c r="G184" s="21">
        <f t="shared" si="218"/>
      </c>
      <c r="H184" s="21">
        <f t="shared" si="218"/>
        <v>0.26</v>
      </c>
      <c r="I184" s="21">
        <f t="shared" si="218"/>
        <v>0.26</v>
      </c>
      <c r="J184" s="21">
        <f t="shared" si="218"/>
        <v>0.26</v>
      </c>
      <c r="K184" s="21">
        <f t="shared" si="218"/>
        <v>0.26</v>
      </c>
      <c r="L184" s="21">
        <f t="shared" si="218"/>
      </c>
      <c r="M184" s="21">
        <f t="shared" si="218"/>
      </c>
      <c r="N184" s="21">
        <f t="shared" si="218"/>
        <v>0.26</v>
      </c>
      <c r="O184" s="21">
        <f t="shared" si="218"/>
        <v>0.26</v>
      </c>
      <c r="P184" s="21">
        <f t="shared" si="218"/>
      </c>
      <c r="Q184" s="21">
        <f t="shared" si="218"/>
      </c>
      <c r="R184" s="21">
        <f t="shared" si="218"/>
        <v>0.26</v>
      </c>
      <c r="S184" s="21">
        <f t="shared" si="218"/>
      </c>
      <c r="T184" s="21">
        <f t="shared" si="218"/>
      </c>
      <c r="U184" s="21">
        <f t="shared" si="218"/>
      </c>
      <c r="V184" s="21">
        <f aca="true" t="shared" si="219" ref="V184:AF184">IF(V100="","",$C58)</f>
      </c>
      <c r="W184" s="21">
        <f t="shared" si="219"/>
      </c>
      <c r="X184" s="21">
        <f t="shared" si="219"/>
      </c>
      <c r="Y184" s="21">
        <f t="shared" si="219"/>
      </c>
      <c r="Z184" s="21">
        <f t="shared" si="219"/>
      </c>
      <c r="AA184" s="21">
        <f t="shared" si="219"/>
      </c>
      <c r="AB184" s="21">
        <f t="shared" si="219"/>
      </c>
      <c r="AC184" s="21">
        <f t="shared" si="219"/>
      </c>
      <c r="AD184" s="21">
        <f t="shared" si="219"/>
      </c>
      <c r="AE184" s="21">
        <f t="shared" si="219"/>
      </c>
      <c r="AF184" s="21">
        <f t="shared" si="219"/>
      </c>
    </row>
    <row r="185" spans="4:32" ht="12.75">
      <c r="D185" s="11" t="s">
        <v>43</v>
      </c>
      <c r="F185" s="21">
        <f aca="true" t="shared" si="220" ref="F185:U185">IF(F101="","",$C59)</f>
      </c>
      <c r="G185" s="21">
        <f t="shared" si="220"/>
      </c>
      <c r="H185" s="21">
        <f t="shared" si="220"/>
        <v>0.338</v>
      </c>
      <c r="I185" s="21">
        <f t="shared" si="220"/>
        <v>0.338</v>
      </c>
      <c r="J185" s="21">
        <f t="shared" si="220"/>
        <v>0.338</v>
      </c>
      <c r="K185" s="21">
        <f t="shared" si="220"/>
        <v>0.338</v>
      </c>
      <c r="L185" s="21">
        <f t="shared" si="220"/>
      </c>
      <c r="M185" s="21">
        <f t="shared" si="220"/>
      </c>
      <c r="N185" s="21">
        <f t="shared" si="220"/>
        <v>0.338</v>
      </c>
      <c r="O185" s="21">
        <f t="shared" si="220"/>
        <v>0.338</v>
      </c>
      <c r="P185" s="21">
        <f t="shared" si="220"/>
      </c>
      <c r="Q185" s="21">
        <f t="shared" si="220"/>
      </c>
      <c r="R185" s="21">
        <f t="shared" si="220"/>
        <v>0.338</v>
      </c>
      <c r="S185" s="21">
        <f t="shared" si="220"/>
      </c>
      <c r="T185" s="21">
        <f t="shared" si="220"/>
      </c>
      <c r="U185" s="21">
        <f t="shared" si="220"/>
      </c>
      <c r="V185" s="21">
        <f aca="true" t="shared" si="221" ref="V185:AF185">IF(V101="","",$C59)</f>
      </c>
      <c r="W185" s="21">
        <f t="shared" si="221"/>
      </c>
      <c r="X185" s="21">
        <f t="shared" si="221"/>
      </c>
      <c r="Y185" s="21">
        <f t="shared" si="221"/>
      </c>
      <c r="Z185" s="21">
        <f t="shared" si="221"/>
      </c>
      <c r="AA185" s="21">
        <f t="shared" si="221"/>
      </c>
      <c r="AB185" s="21">
        <f t="shared" si="221"/>
      </c>
      <c r="AC185" s="21">
        <f t="shared" si="221"/>
      </c>
      <c r="AD185" s="21">
        <f t="shared" si="221"/>
      </c>
      <c r="AE185" s="21">
        <f t="shared" si="221"/>
      </c>
      <c r="AF185" s="21">
        <f t="shared" si="221"/>
      </c>
    </row>
    <row r="186" spans="4:32" ht="12.75">
      <c r="D186" s="9" t="s">
        <v>44</v>
      </c>
      <c r="E186" s="9"/>
      <c r="F186" s="20"/>
      <c r="G186" s="20"/>
      <c r="H186" s="20"/>
      <c r="I186" s="19"/>
      <c r="J186" s="20"/>
      <c r="K186" s="20"/>
      <c r="L186" s="20"/>
      <c r="M186" s="20"/>
      <c r="N186" s="20"/>
      <c r="O186" s="18"/>
      <c r="P186" s="20"/>
      <c r="Q186" s="20"/>
      <c r="R186" s="20"/>
      <c r="S186" s="20"/>
      <c r="T186" s="20"/>
      <c r="U186" s="20"/>
      <c r="V186" s="20"/>
      <c r="W186" s="20"/>
      <c r="X186" s="20"/>
      <c r="Y186" s="20"/>
      <c r="Z186" s="20"/>
      <c r="AA186" s="20"/>
      <c r="AB186" s="20"/>
      <c r="AC186" s="20"/>
      <c r="AD186" s="20"/>
      <c r="AE186" s="20"/>
      <c r="AF186" s="20"/>
    </row>
    <row r="187" ht="12.75">
      <c r="D187" s="27"/>
    </row>
    <row r="188" spans="4:32" ht="12.75">
      <c r="D188" s="4" t="s">
        <v>4</v>
      </c>
      <c r="F188" s="32">
        <f>IF(ISERROR(F148*F105),0,F148*F105)</f>
        <v>81</v>
      </c>
      <c r="G188" s="32">
        <f aca="true" t="shared" si="222" ref="G188:U188">IF(ISERROR(G148*G105),0,G148*G105)</f>
        <v>9</v>
      </c>
      <c r="H188" s="32">
        <f t="shared" si="222"/>
        <v>9</v>
      </c>
      <c r="I188" s="32">
        <f t="shared" si="222"/>
        <v>9</v>
      </c>
      <c r="J188" s="32">
        <f t="shared" si="222"/>
        <v>1</v>
      </c>
      <c r="K188" s="32">
        <f t="shared" si="222"/>
        <v>27</v>
      </c>
      <c r="L188" s="32">
        <f t="shared" si="222"/>
        <v>9</v>
      </c>
      <c r="M188" s="32">
        <f t="shared" si="222"/>
        <v>1</v>
      </c>
      <c r="N188" s="32">
        <f t="shared" si="222"/>
        <v>1</v>
      </c>
      <c r="O188" s="32">
        <f t="shared" si="222"/>
        <v>9</v>
      </c>
      <c r="P188" s="32">
        <f t="shared" si="222"/>
        <v>1</v>
      </c>
      <c r="Q188" s="32">
        <f t="shared" si="222"/>
        <v>1</v>
      </c>
      <c r="R188" s="32">
        <f t="shared" si="222"/>
        <v>3</v>
      </c>
      <c r="S188" s="32">
        <f t="shared" si="222"/>
        <v>81</v>
      </c>
      <c r="T188" s="32">
        <f t="shared" si="222"/>
        <v>1</v>
      </c>
      <c r="U188" s="32">
        <f t="shared" si="222"/>
        <v>1</v>
      </c>
      <c r="V188" s="32">
        <f aca="true" t="shared" si="223" ref="V188:AF188">IF(ISERROR(V148*V105),0,V148*V105)</f>
        <v>1</v>
      </c>
      <c r="W188" s="32">
        <f t="shared" si="223"/>
        <v>3</v>
      </c>
      <c r="X188" s="32">
        <f t="shared" si="223"/>
        <v>1</v>
      </c>
      <c r="Y188" s="32">
        <f t="shared" si="223"/>
        <v>3</v>
      </c>
      <c r="Z188" s="32">
        <f t="shared" si="223"/>
        <v>27</v>
      </c>
      <c r="AA188" s="32">
        <f t="shared" si="223"/>
        <v>1</v>
      </c>
      <c r="AB188" s="32">
        <f t="shared" si="223"/>
        <v>9</v>
      </c>
      <c r="AC188" s="32">
        <f t="shared" si="223"/>
        <v>1</v>
      </c>
      <c r="AD188" s="32">
        <f t="shared" si="223"/>
        <v>1</v>
      </c>
      <c r="AE188" s="32">
        <f t="shared" si="223"/>
        <v>9</v>
      </c>
      <c r="AF188" s="32">
        <f t="shared" si="223"/>
        <v>1</v>
      </c>
    </row>
    <row r="189" spans="4:32" ht="12.75">
      <c r="D189" s="5" t="s">
        <v>5</v>
      </c>
      <c r="F189" s="32">
        <f aca="true" t="shared" si="224" ref="F189:U189">IF(ISERROR(F149*F106),0,F149*F106)</f>
        <v>0</v>
      </c>
      <c r="G189" s="32">
        <f t="shared" si="224"/>
        <v>0</v>
      </c>
      <c r="H189" s="32">
        <f t="shared" si="224"/>
        <v>0</v>
      </c>
      <c r="I189" s="32">
        <f t="shared" si="224"/>
        <v>0</v>
      </c>
      <c r="J189" s="32">
        <f t="shared" si="224"/>
        <v>0</v>
      </c>
      <c r="K189" s="32">
        <f t="shared" si="224"/>
        <v>0</v>
      </c>
      <c r="L189" s="32">
        <f t="shared" si="224"/>
        <v>0</v>
      </c>
      <c r="M189" s="32">
        <f t="shared" si="224"/>
        <v>0</v>
      </c>
      <c r="N189" s="32">
        <f t="shared" si="224"/>
        <v>0</v>
      </c>
      <c r="O189" s="32">
        <f t="shared" si="224"/>
        <v>0</v>
      </c>
      <c r="P189" s="32">
        <f t="shared" si="224"/>
        <v>0</v>
      </c>
      <c r="Q189" s="32">
        <f t="shared" si="224"/>
        <v>0</v>
      </c>
      <c r="R189" s="32">
        <f t="shared" si="224"/>
        <v>0</v>
      </c>
      <c r="S189" s="32">
        <f t="shared" si="224"/>
        <v>0</v>
      </c>
      <c r="T189" s="32">
        <f t="shared" si="224"/>
        <v>0</v>
      </c>
      <c r="U189" s="32">
        <f t="shared" si="224"/>
        <v>0</v>
      </c>
      <c r="V189" s="32">
        <f aca="true" t="shared" si="225" ref="V189:AF189">IF(ISERROR(V149*V106),0,V149*V106)</f>
        <v>0</v>
      </c>
      <c r="W189" s="32">
        <f t="shared" si="225"/>
        <v>0</v>
      </c>
      <c r="X189" s="32">
        <f t="shared" si="225"/>
        <v>0</v>
      </c>
      <c r="Y189" s="32">
        <f t="shared" si="225"/>
        <v>0</v>
      </c>
      <c r="Z189" s="32">
        <f t="shared" si="225"/>
        <v>0</v>
      </c>
      <c r="AA189" s="32">
        <f t="shared" si="225"/>
        <v>0</v>
      </c>
      <c r="AB189" s="32">
        <f t="shared" si="225"/>
        <v>0</v>
      </c>
      <c r="AC189" s="32">
        <f t="shared" si="225"/>
        <v>0</v>
      </c>
      <c r="AD189" s="32">
        <f t="shared" si="225"/>
        <v>0</v>
      </c>
      <c r="AE189" s="32">
        <f t="shared" si="225"/>
        <v>0</v>
      </c>
      <c r="AF189" s="32">
        <f t="shared" si="225"/>
        <v>0</v>
      </c>
    </row>
    <row r="190" spans="4:32" ht="12.75">
      <c r="D190" s="29" t="s">
        <v>6</v>
      </c>
      <c r="F190" s="32">
        <f aca="true" t="shared" si="226" ref="F190:U190">IF(ISERROR(F150*F107),0,F150*F107)</f>
        <v>4.5</v>
      </c>
      <c r="G190" s="32">
        <f t="shared" si="226"/>
        <v>4.5</v>
      </c>
      <c r="H190" s="32">
        <f t="shared" si="226"/>
        <v>4.5</v>
      </c>
      <c r="I190" s="32">
        <f t="shared" si="226"/>
        <v>4.5</v>
      </c>
      <c r="J190" s="32">
        <f t="shared" si="226"/>
        <v>4.5</v>
      </c>
      <c r="K190" s="32">
        <f t="shared" si="226"/>
        <v>4.5</v>
      </c>
      <c r="L190" s="32">
        <f t="shared" si="226"/>
        <v>4.5</v>
      </c>
      <c r="M190" s="32">
        <f t="shared" si="226"/>
        <v>4.5</v>
      </c>
      <c r="N190" s="32">
        <f t="shared" si="226"/>
        <v>4.5</v>
      </c>
      <c r="O190" s="32">
        <f t="shared" si="226"/>
        <v>4.5</v>
      </c>
      <c r="P190" s="32">
        <f t="shared" si="226"/>
        <v>1.5</v>
      </c>
      <c r="Q190" s="32">
        <f t="shared" si="226"/>
        <v>1.5</v>
      </c>
      <c r="R190" s="32">
        <f t="shared" si="226"/>
        <v>1.5</v>
      </c>
      <c r="S190" s="32">
        <f t="shared" si="226"/>
        <v>4.5</v>
      </c>
      <c r="T190" s="32">
        <f t="shared" si="226"/>
        <v>4.5</v>
      </c>
      <c r="U190" s="32">
        <f t="shared" si="226"/>
        <v>1.5</v>
      </c>
      <c r="V190" s="32">
        <f aca="true" t="shared" si="227" ref="V190:AF190">IF(ISERROR(V150*V107),0,V150*V107)</f>
        <v>1.5</v>
      </c>
      <c r="W190" s="32">
        <f t="shared" si="227"/>
        <v>1.5</v>
      </c>
      <c r="X190" s="32">
        <f t="shared" si="227"/>
        <v>1.5</v>
      </c>
      <c r="Y190" s="32">
        <f t="shared" si="227"/>
        <v>4.5</v>
      </c>
      <c r="Z190" s="32">
        <f t="shared" si="227"/>
        <v>4.5</v>
      </c>
      <c r="AA190" s="32">
        <f t="shared" si="227"/>
        <v>4.5</v>
      </c>
      <c r="AB190" s="32">
        <f t="shared" si="227"/>
        <v>1.5</v>
      </c>
      <c r="AC190" s="32">
        <f t="shared" si="227"/>
        <v>1.5</v>
      </c>
      <c r="AD190" s="32">
        <f t="shared" si="227"/>
        <v>1.5</v>
      </c>
      <c r="AE190" s="32">
        <f t="shared" si="227"/>
        <v>1.5</v>
      </c>
      <c r="AF190" s="32">
        <f t="shared" si="227"/>
        <v>4.5</v>
      </c>
    </row>
    <row r="191" spans="4:32" ht="12.75">
      <c r="D191" s="6" t="s">
        <v>7</v>
      </c>
      <c r="F191" s="32">
        <f aca="true" t="shared" si="228" ref="F191:U191">IF(ISERROR(F151*F108),0,F151*F108)</f>
        <v>4.5</v>
      </c>
      <c r="G191" s="32">
        <f t="shared" si="228"/>
        <v>0.5</v>
      </c>
      <c r="H191" s="32">
        <f t="shared" si="228"/>
        <v>0.5</v>
      </c>
      <c r="I191" s="32">
        <f t="shared" si="228"/>
        <v>0.5</v>
      </c>
      <c r="J191" s="32">
        <f t="shared" si="228"/>
        <v>0.5</v>
      </c>
      <c r="K191" s="32">
        <f t="shared" si="228"/>
        <v>0.5</v>
      </c>
      <c r="L191" s="32">
        <f t="shared" si="228"/>
        <v>0.5</v>
      </c>
      <c r="M191" s="32">
        <f t="shared" si="228"/>
        <v>0.5</v>
      </c>
      <c r="N191" s="32">
        <f t="shared" si="228"/>
        <v>0.5</v>
      </c>
      <c r="O191" s="32">
        <f t="shared" si="228"/>
        <v>0.5</v>
      </c>
      <c r="P191" s="32">
        <f t="shared" si="228"/>
        <v>0.5</v>
      </c>
      <c r="Q191" s="32">
        <f t="shared" si="228"/>
        <v>0.5</v>
      </c>
      <c r="R191" s="32">
        <f t="shared" si="228"/>
        <v>0.5</v>
      </c>
      <c r="S191" s="32">
        <f t="shared" si="228"/>
        <v>0.5</v>
      </c>
      <c r="T191" s="32">
        <f t="shared" si="228"/>
        <v>0.5</v>
      </c>
      <c r="U191" s="32">
        <f t="shared" si="228"/>
        <v>0.5</v>
      </c>
      <c r="V191" s="32">
        <f aca="true" t="shared" si="229" ref="V191:AF191">IF(ISERROR(V151*V108),0,V151*V108)</f>
        <v>0.5</v>
      </c>
      <c r="W191" s="32">
        <f t="shared" si="229"/>
        <v>0.5</v>
      </c>
      <c r="X191" s="32">
        <f t="shared" si="229"/>
        <v>0.5</v>
      </c>
      <c r="Y191" s="32">
        <f t="shared" si="229"/>
        <v>0.5</v>
      </c>
      <c r="Z191" s="32">
        <f t="shared" si="229"/>
        <v>0.5</v>
      </c>
      <c r="AA191" s="32">
        <f t="shared" si="229"/>
        <v>0.5</v>
      </c>
      <c r="AB191" s="32">
        <f t="shared" si="229"/>
        <v>0.5</v>
      </c>
      <c r="AC191" s="32">
        <f t="shared" si="229"/>
        <v>0.5</v>
      </c>
      <c r="AD191" s="32">
        <f t="shared" si="229"/>
        <v>0.5</v>
      </c>
      <c r="AE191" s="32">
        <f t="shared" si="229"/>
        <v>0.5</v>
      </c>
      <c r="AF191" s="32">
        <f t="shared" si="229"/>
        <v>0.5</v>
      </c>
    </row>
    <row r="192" spans="2:32" ht="12.75">
      <c r="B192" s="26">
        <f>37.5*14.75*2</f>
        <v>1106.25</v>
      </c>
      <c r="D192" s="6" t="s">
        <v>8</v>
      </c>
      <c r="F192" s="32">
        <f aca="true" t="shared" si="230" ref="F192:U192">IF(ISERROR(F152*F109),0,F152*F109)</f>
        <v>0.5</v>
      </c>
      <c r="G192" s="32">
        <f t="shared" si="230"/>
        <v>0.5</v>
      </c>
      <c r="H192" s="32">
        <f t="shared" si="230"/>
        <v>0.5</v>
      </c>
      <c r="I192" s="32">
        <f t="shared" si="230"/>
        <v>0.5</v>
      </c>
      <c r="J192" s="32">
        <f t="shared" si="230"/>
        <v>0.5</v>
      </c>
      <c r="K192" s="32">
        <f t="shared" si="230"/>
        <v>0.5</v>
      </c>
      <c r="L192" s="32">
        <f t="shared" si="230"/>
        <v>0.5</v>
      </c>
      <c r="M192" s="32">
        <f t="shared" si="230"/>
        <v>0.5</v>
      </c>
      <c r="N192" s="32">
        <f t="shared" si="230"/>
        <v>0.5</v>
      </c>
      <c r="O192" s="32">
        <f t="shared" si="230"/>
        <v>0.5</v>
      </c>
      <c r="P192" s="32">
        <f t="shared" si="230"/>
        <v>0.5</v>
      </c>
      <c r="Q192" s="32">
        <f t="shared" si="230"/>
        <v>0.5</v>
      </c>
      <c r="R192" s="32">
        <f t="shared" si="230"/>
        <v>0.5</v>
      </c>
      <c r="S192" s="32">
        <f t="shared" si="230"/>
        <v>0.5</v>
      </c>
      <c r="T192" s="32">
        <f t="shared" si="230"/>
        <v>0.5</v>
      </c>
      <c r="U192" s="32">
        <f t="shared" si="230"/>
        <v>0.5</v>
      </c>
      <c r="V192" s="32">
        <f aca="true" t="shared" si="231" ref="V192:AF192">IF(ISERROR(V152*V109),0,V152*V109)</f>
        <v>0.5</v>
      </c>
      <c r="W192" s="32">
        <f t="shared" si="231"/>
        <v>0.5</v>
      </c>
      <c r="X192" s="32">
        <f t="shared" si="231"/>
        <v>0.5</v>
      </c>
      <c r="Y192" s="32">
        <f t="shared" si="231"/>
        <v>0.5</v>
      </c>
      <c r="Z192" s="32">
        <f t="shared" si="231"/>
        <v>0.5</v>
      </c>
      <c r="AA192" s="32">
        <f t="shared" si="231"/>
        <v>0.5</v>
      </c>
      <c r="AB192" s="32">
        <f t="shared" si="231"/>
        <v>0.5</v>
      </c>
      <c r="AC192" s="32">
        <f t="shared" si="231"/>
        <v>0.5</v>
      </c>
      <c r="AD192" s="32">
        <f t="shared" si="231"/>
        <v>0.5</v>
      </c>
      <c r="AE192" s="32">
        <f t="shared" si="231"/>
        <v>0.5</v>
      </c>
      <c r="AF192" s="32">
        <f t="shared" si="231"/>
        <v>0.5</v>
      </c>
    </row>
    <row r="193" spans="4:32" ht="12.75">
      <c r="D193" s="7" t="s">
        <v>9</v>
      </c>
      <c r="F193" s="32">
        <f aca="true" t="shared" si="232" ref="F193:U193">IF(ISERROR(F153*F110),0,F153*F110)</f>
        <v>13.5</v>
      </c>
      <c r="G193" s="32">
        <f t="shared" si="232"/>
        <v>0.5</v>
      </c>
      <c r="H193" s="32">
        <f t="shared" si="232"/>
        <v>1.5</v>
      </c>
      <c r="I193" s="32">
        <f t="shared" si="232"/>
        <v>4.5</v>
      </c>
      <c r="J193" s="32">
        <f t="shared" si="232"/>
        <v>4.5</v>
      </c>
      <c r="K193" s="32">
        <f t="shared" si="232"/>
        <v>4.5</v>
      </c>
      <c r="L193" s="32">
        <f t="shared" si="232"/>
        <v>1.5</v>
      </c>
      <c r="M193" s="32">
        <f t="shared" si="232"/>
        <v>4.5</v>
      </c>
      <c r="N193" s="32">
        <f t="shared" si="232"/>
        <v>0.5</v>
      </c>
      <c r="O193" s="32">
        <f t="shared" si="232"/>
        <v>1.5</v>
      </c>
      <c r="P193" s="32">
        <f t="shared" si="232"/>
        <v>0.5</v>
      </c>
      <c r="Q193" s="32">
        <f t="shared" si="232"/>
        <v>4.5</v>
      </c>
      <c r="R193" s="32">
        <f t="shared" si="232"/>
        <v>4.5</v>
      </c>
      <c r="S193" s="32">
        <f t="shared" si="232"/>
        <v>1.5</v>
      </c>
      <c r="T193" s="32">
        <f t="shared" si="232"/>
        <v>0.5</v>
      </c>
      <c r="U193" s="32">
        <f t="shared" si="232"/>
        <v>1.5</v>
      </c>
      <c r="V193" s="32">
        <f aca="true" t="shared" si="233" ref="V193:AF193">IF(ISERROR(V153*V110),0,V153*V110)</f>
        <v>1.5</v>
      </c>
      <c r="W193" s="32">
        <f t="shared" si="233"/>
        <v>4.5</v>
      </c>
      <c r="X193" s="32">
        <f t="shared" si="233"/>
        <v>4.5</v>
      </c>
      <c r="Y193" s="32">
        <f t="shared" si="233"/>
        <v>1.5</v>
      </c>
      <c r="Z193" s="32">
        <f t="shared" si="233"/>
        <v>1.5</v>
      </c>
      <c r="AA193" s="32">
        <f t="shared" si="233"/>
        <v>0.5</v>
      </c>
      <c r="AB193" s="32">
        <f t="shared" si="233"/>
        <v>0.5</v>
      </c>
      <c r="AC193" s="32">
        <f t="shared" si="233"/>
        <v>0.5</v>
      </c>
      <c r="AD193" s="32">
        <f t="shared" si="233"/>
        <v>0.5</v>
      </c>
      <c r="AE193" s="32">
        <f t="shared" si="233"/>
        <v>0.5</v>
      </c>
      <c r="AF193" s="32">
        <f t="shared" si="233"/>
        <v>0.5</v>
      </c>
    </row>
    <row r="194" spans="4:32" ht="12.75">
      <c r="D194" s="6" t="s">
        <v>10</v>
      </c>
      <c r="F194" s="32">
        <f aca="true" t="shared" si="234" ref="F194:U194">IF(ISERROR(F154*F111),0,F154*F111)</f>
        <v>0</v>
      </c>
      <c r="G194" s="32">
        <f t="shared" si="234"/>
        <v>0</v>
      </c>
      <c r="H194" s="32">
        <f t="shared" si="234"/>
        <v>0</v>
      </c>
      <c r="I194" s="32">
        <f t="shared" si="234"/>
        <v>0</v>
      </c>
      <c r="J194" s="32">
        <f t="shared" si="234"/>
        <v>0</v>
      </c>
      <c r="K194" s="32">
        <f t="shared" si="234"/>
        <v>0</v>
      </c>
      <c r="L194" s="32">
        <f t="shared" si="234"/>
        <v>0</v>
      </c>
      <c r="M194" s="32">
        <f t="shared" si="234"/>
        <v>0</v>
      </c>
      <c r="N194" s="32">
        <f t="shared" si="234"/>
        <v>0</v>
      </c>
      <c r="O194" s="32">
        <f t="shared" si="234"/>
        <v>0</v>
      </c>
      <c r="P194" s="32">
        <f t="shared" si="234"/>
        <v>0</v>
      </c>
      <c r="Q194" s="32">
        <f t="shared" si="234"/>
        <v>0</v>
      </c>
      <c r="R194" s="32">
        <f t="shared" si="234"/>
        <v>0</v>
      </c>
      <c r="S194" s="32">
        <f t="shared" si="234"/>
        <v>0</v>
      </c>
      <c r="T194" s="32">
        <f t="shared" si="234"/>
        <v>0</v>
      </c>
      <c r="U194" s="32">
        <f t="shared" si="234"/>
        <v>0</v>
      </c>
      <c r="V194" s="32">
        <f aca="true" t="shared" si="235" ref="V194:AF194">IF(ISERROR(V154*V111),0,V154*V111)</f>
        <v>0</v>
      </c>
      <c r="W194" s="32">
        <f t="shared" si="235"/>
        <v>0</v>
      </c>
      <c r="X194" s="32">
        <f t="shared" si="235"/>
        <v>0</v>
      </c>
      <c r="Y194" s="32">
        <f t="shared" si="235"/>
        <v>0</v>
      </c>
      <c r="Z194" s="32">
        <f t="shared" si="235"/>
        <v>0</v>
      </c>
      <c r="AA194" s="32">
        <f t="shared" si="235"/>
        <v>0</v>
      </c>
      <c r="AB194" s="32">
        <f t="shared" si="235"/>
        <v>0</v>
      </c>
      <c r="AC194" s="32">
        <f t="shared" si="235"/>
        <v>0</v>
      </c>
      <c r="AD194" s="32">
        <f t="shared" si="235"/>
        <v>0</v>
      </c>
      <c r="AE194" s="32">
        <f t="shared" si="235"/>
        <v>0</v>
      </c>
      <c r="AF194" s="32">
        <f t="shared" si="235"/>
        <v>0</v>
      </c>
    </row>
    <row r="195" spans="4:32" ht="12.75">
      <c r="D195" s="8" t="s">
        <v>11</v>
      </c>
      <c r="F195" s="32">
        <f aca="true" t="shared" si="236" ref="F195:U195">IF(ISERROR(F155*F112),0,F155*F112)</f>
        <v>0</v>
      </c>
      <c r="G195" s="32">
        <f t="shared" si="236"/>
        <v>0</v>
      </c>
      <c r="H195" s="32">
        <f t="shared" si="236"/>
        <v>0</v>
      </c>
      <c r="I195" s="32">
        <f t="shared" si="236"/>
        <v>0</v>
      </c>
      <c r="J195" s="32">
        <f t="shared" si="236"/>
        <v>0</v>
      </c>
      <c r="K195" s="32">
        <f t="shared" si="236"/>
        <v>0</v>
      </c>
      <c r="L195" s="32">
        <f t="shared" si="236"/>
        <v>0</v>
      </c>
      <c r="M195" s="32">
        <f t="shared" si="236"/>
        <v>0</v>
      </c>
      <c r="N195" s="32">
        <f t="shared" si="236"/>
        <v>0</v>
      </c>
      <c r="O195" s="32">
        <f t="shared" si="236"/>
        <v>0</v>
      </c>
      <c r="P195" s="32">
        <f t="shared" si="236"/>
        <v>0</v>
      </c>
      <c r="Q195" s="32">
        <f t="shared" si="236"/>
        <v>0</v>
      </c>
      <c r="R195" s="32">
        <f t="shared" si="236"/>
        <v>0</v>
      </c>
      <c r="S195" s="32">
        <f t="shared" si="236"/>
        <v>0</v>
      </c>
      <c r="T195" s="32">
        <f t="shared" si="236"/>
        <v>0</v>
      </c>
      <c r="U195" s="32">
        <f t="shared" si="236"/>
        <v>0</v>
      </c>
      <c r="V195" s="32">
        <f aca="true" t="shared" si="237" ref="V195:AF195">IF(ISERROR(V155*V112),0,V155*V112)</f>
        <v>0</v>
      </c>
      <c r="W195" s="32">
        <f t="shared" si="237"/>
        <v>0</v>
      </c>
      <c r="X195" s="32">
        <f t="shared" si="237"/>
        <v>0</v>
      </c>
      <c r="Y195" s="32">
        <f t="shared" si="237"/>
        <v>0</v>
      </c>
      <c r="Z195" s="32">
        <f t="shared" si="237"/>
        <v>0</v>
      </c>
      <c r="AA195" s="32">
        <f t="shared" si="237"/>
        <v>0</v>
      </c>
      <c r="AB195" s="32">
        <f t="shared" si="237"/>
        <v>0</v>
      </c>
      <c r="AC195" s="32">
        <f t="shared" si="237"/>
        <v>0</v>
      </c>
      <c r="AD195" s="32">
        <f t="shared" si="237"/>
        <v>0</v>
      </c>
      <c r="AE195" s="32">
        <f t="shared" si="237"/>
        <v>0</v>
      </c>
      <c r="AF195" s="32">
        <f t="shared" si="237"/>
        <v>0</v>
      </c>
    </row>
    <row r="196" spans="4:32" ht="12.75">
      <c r="D196" s="4" t="s">
        <v>12</v>
      </c>
      <c r="F196" s="32">
        <f aca="true" t="shared" si="238" ref="F196:U196">IF(ISERROR(F156*F113),0,F156*F113)</f>
        <v>40.5</v>
      </c>
      <c r="G196" s="32">
        <f t="shared" si="238"/>
        <v>4.5</v>
      </c>
      <c r="H196" s="32">
        <f t="shared" si="238"/>
        <v>1.5</v>
      </c>
      <c r="I196" s="32">
        <f t="shared" si="238"/>
        <v>1.5</v>
      </c>
      <c r="J196" s="32">
        <f t="shared" si="238"/>
        <v>4.5</v>
      </c>
      <c r="K196" s="32">
        <f t="shared" si="238"/>
        <v>4.5</v>
      </c>
      <c r="L196" s="32">
        <f t="shared" si="238"/>
        <v>13.5</v>
      </c>
      <c r="M196" s="32">
        <f t="shared" si="238"/>
        <v>4.5</v>
      </c>
      <c r="N196" s="32">
        <f t="shared" si="238"/>
        <v>0.5</v>
      </c>
      <c r="O196" s="32">
        <f t="shared" si="238"/>
        <v>1.5</v>
      </c>
      <c r="P196" s="32">
        <f t="shared" si="238"/>
        <v>0.5</v>
      </c>
      <c r="Q196" s="32">
        <f t="shared" si="238"/>
        <v>1.5</v>
      </c>
      <c r="R196" s="32">
        <f t="shared" si="238"/>
        <v>1.5</v>
      </c>
      <c r="S196" s="32">
        <f t="shared" si="238"/>
        <v>1.5</v>
      </c>
      <c r="T196" s="32">
        <f t="shared" si="238"/>
        <v>1.5</v>
      </c>
      <c r="U196" s="32">
        <f t="shared" si="238"/>
        <v>0.5</v>
      </c>
      <c r="V196" s="32">
        <f aca="true" t="shared" si="239" ref="V196:AF196">IF(ISERROR(V156*V113),0,V156*V113)</f>
        <v>1.5</v>
      </c>
      <c r="W196" s="32">
        <f t="shared" si="239"/>
        <v>0.5</v>
      </c>
      <c r="X196" s="32">
        <f t="shared" si="239"/>
        <v>0.5</v>
      </c>
      <c r="Y196" s="32">
        <f t="shared" si="239"/>
        <v>1.5</v>
      </c>
      <c r="Z196" s="32">
        <f t="shared" si="239"/>
        <v>1.5</v>
      </c>
      <c r="AA196" s="32">
        <f t="shared" si="239"/>
        <v>0.5</v>
      </c>
      <c r="AB196" s="32">
        <f t="shared" si="239"/>
        <v>0.5</v>
      </c>
      <c r="AC196" s="32">
        <f t="shared" si="239"/>
        <v>0.5</v>
      </c>
      <c r="AD196" s="32">
        <f t="shared" si="239"/>
        <v>0.5</v>
      </c>
      <c r="AE196" s="32">
        <f t="shared" si="239"/>
        <v>1.5</v>
      </c>
      <c r="AF196" s="32">
        <f t="shared" si="239"/>
        <v>1.5</v>
      </c>
    </row>
    <row r="197" spans="4:32" ht="12.75">
      <c r="D197" s="6" t="s">
        <v>13</v>
      </c>
      <c r="F197" s="32">
        <f aca="true" t="shared" si="240" ref="F197:U197">IF(ISERROR(F157*F114),0,F157*F114)</f>
        <v>13.5</v>
      </c>
      <c r="G197" s="32">
        <f t="shared" si="240"/>
        <v>13.5</v>
      </c>
      <c r="H197" s="32">
        <f t="shared" si="240"/>
        <v>4.5</v>
      </c>
      <c r="I197" s="32">
        <f t="shared" si="240"/>
        <v>4.5</v>
      </c>
      <c r="J197" s="32">
        <f t="shared" si="240"/>
        <v>13.5</v>
      </c>
      <c r="K197" s="32">
        <f t="shared" si="240"/>
        <v>13.5</v>
      </c>
      <c r="L197" s="32">
        <f t="shared" si="240"/>
        <v>13.5</v>
      </c>
      <c r="M197" s="32">
        <f t="shared" si="240"/>
        <v>13.5</v>
      </c>
      <c r="N197" s="32">
        <f t="shared" si="240"/>
        <v>1.5</v>
      </c>
      <c r="O197" s="32">
        <f t="shared" si="240"/>
        <v>4.5</v>
      </c>
      <c r="P197" s="32">
        <f t="shared" si="240"/>
        <v>0.5</v>
      </c>
      <c r="Q197" s="32">
        <f t="shared" si="240"/>
        <v>1.5</v>
      </c>
      <c r="R197" s="32">
        <f t="shared" si="240"/>
        <v>4.5</v>
      </c>
      <c r="S197" s="32">
        <f t="shared" si="240"/>
        <v>4.5</v>
      </c>
      <c r="T197" s="32">
        <f t="shared" si="240"/>
        <v>4.5</v>
      </c>
      <c r="U197" s="32">
        <f t="shared" si="240"/>
        <v>1.5</v>
      </c>
      <c r="V197" s="32">
        <f aca="true" t="shared" si="241" ref="V197:AF197">IF(ISERROR(V157*V114),0,V157*V114)</f>
        <v>1.5</v>
      </c>
      <c r="W197" s="32">
        <f t="shared" si="241"/>
        <v>1.5</v>
      </c>
      <c r="X197" s="32">
        <f t="shared" si="241"/>
        <v>1.5</v>
      </c>
      <c r="Y197" s="32">
        <f t="shared" si="241"/>
        <v>13.5</v>
      </c>
      <c r="Z197" s="32">
        <f t="shared" si="241"/>
        <v>13.5</v>
      </c>
      <c r="AA197" s="32">
        <f t="shared" si="241"/>
        <v>1.5</v>
      </c>
      <c r="AB197" s="32">
        <f t="shared" si="241"/>
        <v>1.5</v>
      </c>
      <c r="AC197" s="32">
        <f t="shared" si="241"/>
        <v>1.5</v>
      </c>
      <c r="AD197" s="32">
        <f t="shared" si="241"/>
        <v>4.5</v>
      </c>
      <c r="AE197" s="32">
        <f t="shared" si="241"/>
        <v>4.5</v>
      </c>
      <c r="AF197" s="32">
        <f t="shared" si="241"/>
        <v>4.5</v>
      </c>
    </row>
    <row r="198" spans="4:32" ht="12.75">
      <c r="D198" s="8" t="s">
        <v>14</v>
      </c>
      <c r="F198" s="32">
        <f aca="true" t="shared" si="242" ref="F198:U198">IF(ISERROR(F158*F115),0,F158*F115)</f>
        <v>0</v>
      </c>
      <c r="G198" s="32">
        <f t="shared" si="242"/>
        <v>0</v>
      </c>
      <c r="H198" s="32">
        <f t="shared" si="242"/>
        <v>0</v>
      </c>
      <c r="I198" s="32">
        <f t="shared" si="242"/>
        <v>0</v>
      </c>
      <c r="J198" s="32">
        <f t="shared" si="242"/>
        <v>0</v>
      </c>
      <c r="K198" s="32">
        <f t="shared" si="242"/>
        <v>0</v>
      </c>
      <c r="L198" s="32">
        <f t="shared" si="242"/>
        <v>0</v>
      </c>
      <c r="M198" s="32">
        <f t="shared" si="242"/>
        <v>0</v>
      </c>
      <c r="N198" s="32">
        <f t="shared" si="242"/>
        <v>0</v>
      </c>
      <c r="O198" s="32">
        <f t="shared" si="242"/>
        <v>0</v>
      </c>
      <c r="P198" s="32">
        <f t="shared" si="242"/>
        <v>0</v>
      </c>
      <c r="Q198" s="32">
        <f t="shared" si="242"/>
        <v>0</v>
      </c>
      <c r="R198" s="32">
        <f t="shared" si="242"/>
        <v>0</v>
      </c>
      <c r="S198" s="32">
        <f t="shared" si="242"/>
        <v>0</v>
      </c>
      <c r="T198" s="32">
        <f t="shared" si="242"/>
        <v>0</v>
      </c>
      <c r="U198" s="32">
        <f t="shared" si="242"/>
        <v>0</v>
      </c>
      <c r="V198" s="32">
        <f aca="true" t="shared" si="243" ref="V198:AF198">IF(ISERROR(V158*V115),0,V158*V115)</f>
        <v>0</v>
      </c>
      <c r="W198" s="32">
        <f t="shared" si="243"/>
        <v>0</v>
      </c>
      <c r="X198" s="32">
        <f t="shared" si="243"/>
        <v>0</v>
      </c>
      <c r="Y198" s="32">
        <f t="shared" si="243"/>
        <v>0</v>
      </c>
      <c r="Z198" s="32">
        <f t="shared" si="243"/>
        <v>0</v>
      </c>
      <c r="AA198" s="32">
        <f t="shared" si="243"/>
        <v>0</v>
      </c>
      <c r="AB198" s="32">
        <f t="shared" si="243"/>
        <v>0</v>
      </c>
      <c r="AC198" s="32">
        <f t="shared" si="243"/>
        <v>0</v>
      </c>
      <c r="AD198" s="32">
        <f t="shared" si="243"/>
        <v>0</v>
      </c>
      <c r="AE198" s="32">
        <f t="shared" si="243"/>
        <v>0</v>
      </c>
      <c r="AF198" s="32">
        <f t="shared" si="243"/>
        <v>0</v>
      </c>
    </row>
    <row r="199" spans="4:32" ht="12.75">
      <c r="D199" s="8" t="s">
        <v>15</v>
      </c>
      <c r="F199" s="32">
        <f aca="true" t="shared" si="244" ref="F199:U199">IF(ISERROR(F159*F116),0,F159*F116)</f>
        <v>40.5</v>
      </c>
      <c r="G199" s="32">
        <f t="shared" si="244"/>
        <v>13.5</v>
      </c>
      <c r="H199" s="32">
        <f t="shared" si="244"/>
        <v>1.5</v>
      </c>
      <c r="I199" s="32">
        <f t="shared" si="244"/>
        <v>4.5</v>
      </c>
      <c r="J199" s="32">
        <f t="shared" si="244"/>
        <v>13.5</v>
      </c>
      <c r="K199" s="32">
        <f t="shared" si="244"/>
        <v>13.5</v>
      </c>
      <c r="L199" s="32">
        <f t="shared" si="244"/>
        <v>4.5</v>
      </c>
      <c r="M199" s="32">
        <f t="shared" si="244"/>
        <v>4.5</v>
      </c>
      <c r="N199" s="32">
        <f t="shared" si="244"/>
        <v>1.5</v>
      </c>
      <c r="O199" s="32">
        <f t="shared" si="244"/>
        <v>4.5</v>
      </c>
      <c r="P199" s="32">
        <f t="shared" si="244"/>
        <v>0.5</v>
      </c>
      <c r="Q199" s="32">
        <f t="shared" si="244"/>
        <v>1.5</v>
      </c>
      <c r="R199" s="32">
        <f t="shared" si="244"/>
        <v>1.5</v>
      </c>
      <c r="S199" s="32">
        <f t="shared" si="244"/>
        <v>1.5</v>
      </c>
      <c r="T199" s="32">
        <f t="shared" si="244"/>
        <v>1.5</v>
      </c>
      <c r="U199" s="32">
        <f t="shared" si="244"/>
        <v>1.5</v>
      </c>
      <c r="V199" s="32">
        <f aca="true" t="shared" si="245" ref="V199:AF199">IF(ISERROR(V159*V116),0,V159*V116)</f>
        <v>1.5</v>
      </c>
      <c r="W199" s="32">
        <f t="shared" si="245"/>
        <v>1.5</v>
      </c>
      <c r="X199" s="32">
        <f t="shared" si="245"/>
        <v>1.5</v>
      </c>
      <c r="Y199" s="32">
        <f t="shared" si="245"/>
        <v>13.5</v>
      </c>
      <c r="Z199" s="32">
        <f t="shared" si="245"/>
        <v>13.5</v>
      </c>
      <c r="AA199" s="32">
        <f t="shared" si="245"/>
        <v>1.5</v>
      </c>
      <c r="AB199" s="32">
        <f t="shared" si="245"/>
        <v>1.5</v>
      </c>
      <c r="AC199" s="32">
        <f t="shared" si="245"/>
        <v>1.5</v>
      </c>
      <c r="AD199" s="32">
        <f t="shared" si="245"/>
        <v>1.5</v>
      </c>
      <c r="AE199" s="32">
        <f t="shared" si="245"/>
        <v>1.5</v>
      </c>
      <c r="AF199" s="32">
        <f t="shared" si="245"/>
        <v>1.5</v>
      </c>
    </row>
    <row r="200" spans="4:32" ht="12.75">
      <c r="D200" s="8" t="s">
        <v>16</v>
      </c>
      <c r="F200" s="32">
        <f aca="true" t="shared" si="246" ref="F200:U200">IF(ISERROR(F160*F117),0,F160*F117)</f>
        <v>0</v>
      </c>
      <c r="G200" s="32">
        <f t="shared" si="246"/>
        <v>0</v>
      </c>
      <c r="H200" s="32">
        <f t="shared" si="246"/>
        <v>0</v>
      </c>
      <c r="I200" s="32">
        <f t="shared" si="246"/>
        <v>0</v>
      </c>
      <c r="J200" s="32">
        <f t="shared" si="246"/>
        <v>0</v>
      </c>
      <c r="K200" s="32">
        <f t="shared" si="246"/>
        <v>0</v>
      </c>
      <c r="L200" s="32">
        <f t="shared" si="246"/>
        <v>0</v>
      </c>
      <c r="M200" s="32">
        <f t="shared" si="246"/>
        <v>0</v>
      </c>
      <c r="N200" s="32">
        <f t="shared" si="246"/>
        <v>0</v>
      </c>
      <c r="O200" s="32">
        <f t="shared" si="246"/>
        <v>0</v>
      </c>
      <c r="P200" s="32">
        <f t="shared" si="246"/>
        <v>0</v>
      </c>
      <c r="Q200" s="32">
        <f t="shared" si="246"/>
        <v>0</v>
      </c>
      <c r="R200" s="32">
        <f t="shared" si="246"/>
        <v>0</v>
      </c>
      <c r="S200" s="32">
        <f t="shared" si="246"/>
        <v>0</v>
      </c>
      <c r="T200" s="32">
        <f t="shared" si="246"/>
        <v>0</v>
      </c>
      <c r="U200" s="32">
        <f t="shared" si="246"/>
        <v>0</v>
      </c>
      <c r="V200" s="32">
        <f aca="true" t="shared" si="247" ref="V200:AF200">IF(ISERROR(V160*V117),0,V160*V117)</f>
        <v>0</v>
      </c>
      <c r="W200" s="32">
        <f t="shared" si="247"/>
        <v>0</v>
      </c>
      <c r="X200" s="32">
        <f t="shared" si="247"/>
        <v>0</v>
      </c>
      <c r="Y200" s="32">
        <f t="shared" si="247"/>
        <v>0</v>
      </c>
      <c r="Z200" s="32">
        <f t="shared" si="247"/>
        <v>0</v>
      </c>
      <c r="AA200" s="32">
        <f t="shared" si="247"/>
        <v>0</v>
      </c>
      <c r="AB200" s="32">
        <f t="shared" si="247"/>
        <v>0</v>
      </c>
      <c r="AC200" s="32">
        <f t="shared" si="247"/>
        <v>0</v>
      </c>
      <c r="AD200" s="32">
        <f t="shared" si="247"/>
        <v>0</v>
      </c>
      <c r="AE200" s="32">
        <f t="shared" si="247"/>
        <v>0</v>
      </c>
      <c r="AF200" s="32">
        <f t="shared" si="247"/>
        <v>0</v>
      </c>
    </row>
    <row r="201" spans="4:32" ht="12.75">
      <c r="D201" s="9" t="s">
        <v>17</v>
      </c>
      <c r="F201" s="32">
        <f aca="true" t="shared" si="248" ref="F201:U201">IF(ISERROR(F161*F118),0,F161*F118)</f>
        <v>81</v>
      </c>
      <c r="G201" s="32">
        <f t="shared" si="248"/>
        <v>27</v>
      </c>
      <c r="H201" s="32">
        <f t="shared" si="248"/>
        <v>9</v>
      </c>
      <c r="I201" s="32">
        <f t="shared" si="248"/>
        <v>81</v>
      </c>
      <c r="J201" s="32">
        <f t="shared" si="248"/>
        <v>81</v>
      </c>
      <c r="K201" s="32">
        <f t="shared" si="248"/>
        <v>81</v>
      </c>
      <c r="L201" s="32">
        <f t="shared" si="248"/>
        <v>27</v>
      </c>
      <c r="M201" s="32">
        <f t="shared" si="248"/>
        <v>27</v>
      </c>
      <c r="N201" s="32">
        <f t="shared" si="248"/>
        <v>3</v>
      </c>
      <c r="O201" s="32">
        <f t="shared" si="248"/>
        <v>27</v>
      </c>
      <c r="P201" s="32">
        <f t="shared" si="248"/>
        <v>3</v>
      </c>
      <c r="Q201" s="32">
        <f t="shared" si="248"/>
        <v>27</v>
      </c>
      <c r="R201" s="32">
        <f t="shared" si="248"/>
        <v>27</v>
      </c>
      <c r="S201" s="32">
        <f t="shared" si="248"/>
        <v>9</v>
      </c>
      <c r="T201" s="32">
        <f t="shared" si="248"/>
        <v>9</v>
      </c>
      <c r="U201" s="32">
        <f t="shared" si="248"/>
        <v>3</v>
      </c>
      <c r="V201" s="32">
        <f aca="true" t="shared" si="249" ref="V201:AF201">IF(ISERROR(V161*V118),0,V161*V118)</f>
        <v>3</v>
      </c>
      <c r="W201" s="32">
        <f t="shared" si="249"/>
        <v>27</v>
      </c>
      <c r="X201" s="32">
        <f t="shared" si="249"/>
        <v>9</v>
      </c>
      <c r="Y201" s="32">
        <f t="shared" si="249"/>
        <v>9</v>
      </c>
      <c r="Z201" s="32">
        <f t="shared" si="249"/>
        <v>9</v>
      </c>
      <c r="AA201" s="32">
        <f t="shared" si="249"/>
        <v>3</v>
      </c>
      <c r="AB201" s="32">
        <f t="shared" si="249"/>
        <v>3</v>
      </c>
      <c r="AC201" s="32">
        <f t="shared" si="249"/>
        <v>3</v>
      </c>
      <c r="AD201" s="32">
        <f t="shared" si="249"/>
        <v>3</v>
      </c>
      <c r="AE201" s="32">
        <f t="shared" si="249"/>
        <v>3</v>
      </c>
      <c r="AF201" s="32">
        <f t="shared" si="249"/>
        <v>3</v>
      </c>
    </row>
    <row r="202" spans="4:32" ht="12.75">
      <c r="D202" s="30" t="s">
        <v>18</v>
      </c>
      <c r="F202" s="32">
        <f aca="true" t="shared" si="250" ref="F202:U202">IF(ISERROR(F162*F119),0,F162*F119)</f>
        <v>54</v>
      </c>
      <c r="G202" s="32">
        <f t="shared" si="250"/>
        <v>54</v>
      </c>
      <c r="H202" s="32">
        <f t="shared" si="250"/>
        <v>18</v>
      </c>
      <c r="I202" s="32">
        <f t="shared" si="250"/>
        <v>162</v>
      </c>
      <c r="J202" s="32">
        <f t="shared" si="250"/>
        <v>54</v>
      </c>
      <c r="K202" s="32">
        <f t="shared" si="250"/>
        <v>54</v>
      </c>
      <c r="L202" s="32">
        <f t="shared" si="250"/>
        <v>54</v>
      </c>
      <c r="M202" s="32">
        <f t="shared" si="250"/>
        <v>54</v>
      </c>
      <c r="N202" s="32">
        <f t="shared" si="250"/>
        <v>2</v>
      </c>
      <c r="O202" s="32">
        <f t="shared" si="250"/>
        <v>18</v>
      </c>
      <c r="P202" s="32">
        <f t="shared" si="250"/>
        <v>2</v>
      </c>
      <c r="Q202" s="32">
        <f t="shared" si="250"/>
        <v>54</v>
      </c>
      <c r="R202" s="32">
        <f t="shared" si="250"/>
        <v>18</v>
      </c>
      <c r="S202" s="32">
        <f t="shared" si="250"/>
        <v>2</v>
      </c>
      <c r="T202" s="32">
        <f t="shared" si="250"/>
        <v>2</v>
      </c>
      <c r="U202" s="32">
        <f t="shared" si="250"/>
        <v>2</v>
      </c>
      <c r="V202" s="32">
        <f aca="true" t="shared" si="251" ref="V202:AF202">IF(ISERROR(V162*V119),0,V162*V119)</f>
        <v>2</v>
      </c>
      <c r="W202" s="32">
        <f t="shared" si="251"/>
        <v>18</v>
      </c>
      <c r="X202" s="32">
        <f t="shared" si="251"/>
        <v>2</v>
      </c>
      <c r="Y202" s="32">
        <f t="shared" si="251"/>
        <v>2</v>
      </c>
      <c r="Z202" s="32">
        <f t="shared" si="251"/>
        <v>2</v>
      </c>
      <c r="AA202" s="32">
        <f t="shared" si="251"/>
        <v>2</v>
      </c>
      <c r="AB202" s="32">
        <f t="shared" si="251"/>
        <v>2</v>
      </c>
      <c r="AC202" s="32">
        <f t="shared" si="251"/>
        <v>2</v>
      </c>
      <c r="AD202" s="32">
        <f t="shared" si="251"/>
        <v>2</v>
      </c>
      <c r="AE202" s="32">
        <f t="shared" si="251"/>
        <v>2</v>
      </c>
      <c r="AF202" s="32">
        <f t="shared" si="251"/>
        <v>2</v>
      </c>
    </row>
    <row r="203" spans="4:32" ht="12.75">
      <c r="D203" s="7" t="s">
        <v>19</v>
      </c>
      <c r="F203" s="32">
        <f aca="true" t="shared" si="252" ref="F203:U203">IF(ISERROR(F163*F120),0,F163*F120)</f>
        <v>27</v>
      </c>
      <c r="G203" s="32">
        <f t="shared" si="252"/>
        <v>3</v>
      </c>
      <c r="H203" s="32">
        <f t="shared" si="252"/>
        <v>1</v>
      </c>
      <c r="I203" s="32">
        <f t="shared" si="252"/>
        <v>3</v>
      </c>
      <c r="J203" s="32">
        <f t="shared" si="252"/>
        <v>9</v>
      </c>
      <c r="K203" s="32">
        <f t="shared" si="252"/>
        <v>1</v>
      </c>
      <c r="L203" s="32">
        <f t="shared" si="252"/>
        <v>3</v>
      </c>
      <c r="M203" s="32">
        <f t="shared" si="252"/>
        <v>81</v>
      </c>
      <c r="N203" s="32">
        <f t="shared" si="252"/>
        <v>1</v>
      </c>
      <c r="O203" s="32">
        <f t="shared" si="252"/>
        <v>1</v>
      </c>
      <c r="P203" s="32">
        <f t="shared" si="252"/>
        <v>1</v>
      </c>
      <c r="Q203" s="32">
        <f t="shared" si="252"/>
        <v>3</v>
      </c>
      <c r="R203" s="32">
        <f t="shared" si="252"/>
        <v>3</v>
      </c>
      <c r="S203" s="32">
        <f t="shared" si="252"/>
        <v>1</v>
      </c>
      <c r="T203" s="32">
        <f t="shared" si="252"/>
        <v>1</v>
      </c>
      <c r="U203" s="32">
        <f t="shared" si="252"/>
        <v>1</v>
      </c>
      <c r="V203" s="32">
        <f aca="true" t="shared" si="253" ref="V203:AF203">IF(ISERROR(V163*V120),0,V163*V120)</f>
        <v>1</v>
      </c>
      <c r="W203" s="32">
        <f t="shared" si="253"/>
        <v>3</v>
      </c>
      <c r="X203" s="32">
        <f t="shared" si="253"/>
        <v>3</v>
      </c>
      <c r="Y203" s="32">
        <f t="shared" si="253"/>
        <v>1</v>
      </c>
      <c r="Z203" s="32">
        <f t="shared" si="253"/>
        <v>1</v>
      </c>
      <c r="AA203" s="32">
        <f t="shared" si="253"/>
        <v>1</v>
      </c>
      <c r="AB203" s="32">
        <f t="shared" si="253"/>
        <v>1</v>
      </c>
      <c r="AC203" s="32">
        <f t="shared" si="253"/>
        <v>3</v>
      </c>
      <c r="AD203" s="32">
        <f t="shared" si="253"/>
        <v>1</v>
      </c>
      <c r="AE203" s="32">
        <f t="shared" si="253"/>
        <v>1</v>
      </c>
      <c r="AF203" s="32">
        <f t="shared" si="253"/>
        <v>3</v>
      </c>
    </row>
    <row r="204" spans="4:32" ht="12.75">
      <c r="D204" s="9" t="s">
        <v>20</v>
      </c>
      <c r="F204" s="32">
        <f aca="true" t="shared" si="254" ref="F204:U204">IF(ISERROR(F164*F121),0,F164*F121)</f>
        <v>0</v>
      </c>
      <c r="G204" s="32">
        <f t="shared" si="254"/>
        <v>0</v>
      </c>
      <c r="H204" s="32">
        <f t="shared" si="254"/>
        <v>0</v>
      </c>
      <c r="I204" s="32">
        <f t="shared" si="254"/>
        <v>0</v>
      </c>
      <c r="J204" s="32">
        <f t="shared" si="254"/>
        <v>0</v>
      </c>
      <c r="K204" s="32">
        <f t="shared" si="254"/>
        <v>0</v>
      </c>
      <c r="L204" s="32">
        <f t="shared" si="254"/>
        <v>0</v>
      </c>
      <c r="M204" s="32">
        <f t="shared" si="254"/>
        <v>0</v>
      </c>
      <c r="N204" s="32">
        <f t="shared" si="254"/>
        <v>0</v>
      </c>
      <c r="O204" s="32">
        <f t="shared" si="254"/>
        <v>0</v>
      </c>
      <c r="P204" s="32">
        <f t="shared" si="254"/>
        <v>0</v>
      </c>
      <c r="Q204" s="32">
        <f t="shared" si="254"/>
        <v>0</v>
      </c>
      <c r="R204" s="32">
        <f t="shared" si="254"/>
        <v>0</v>
      </c>
      <c r="S204" s="32">
        <f t="shared" si="254"/>
        <v>0</v>
      </c>
      <c r="T204" s="32">
        <f t="shared" si="254"/>
        <v>0</v>
      </c>
      <c r="U204" s="32">
        <f t="shared" si="254"/>
        <v>0</v>
      </c>
      <c r="V204" s="32">
        <f aca="true" t="shared" si="255" ref="V204:AF204">IF(ISERROR(V164*V121),0,V164*V121)</f>
        <v>0</v>
      </c>
      <c r="W204" s="32">
        <f t="shared" si="255"/>
        <v>0</v>
      </c>
      <c r="X204" s="32">
        <f t="shared" si="255"/>
        <v>0</v>
      </c>
      <c r="Y204" s="32">
        <f t="shared" si="255"/>
        <v>0</v>
      </c>
      <c r="Z204" s="32">
        <f t="shared" si="255"/>
        <v>0</v>
      </c>
      <c r="AA204" s="32">
        <f t="shared" si="255"/>
        <v>0</v>
      </c>
      <c r="AB204" s="32">
        <f t="shared" si="255"/>
        <v>0</v>
      </c>
      <c r="AC204" s="32">
        <f t="shared" si="255"/>
        <v>0</v>
      </c>
      <c r="AD204" s="32">
        <f t="shared" si="255"/>
        <v>0</v>
      </c>
      <c r="AE204" s="32">
        <f t="shared" si="255"/>
        <v>0</v>
      </c>
      <c r="AF204" s="32">
        <f t="shared" si="255"/>
        <v>0</v>
      </c>
    </row>
    <row r="205" spans="4:32" ht="12.75">
      <c r="D205" s="7" t="s">
        <v>21</v>
      </c>
      <c r="F205" s="32">
        <f aca="true" t="shared" si="256" ref="F205:U205">IF(ISERROR(F165*F122),0,F165*F122)</f>
        <v>0.75</v>
      </c>
      <c r="G205" s="32">
        <f t="shared" si="256"/>
        <v>0.75</v>
      </c>
      <c r="H205" s="32">
        <f t="shared" si="256"/>
        <v>0.75</v>
      </c>
      <c r="I205" s="32">
        <f t="shared" si="256"/>
        <v>0.75</v>
      </c>
      <c r="J205" s="32">
        <f t="shared" si="256"/>
        <v>0.75</v>
      </c>
      <c r="K205" s="32">
        <f t="shared" si="256"/>
        <v>0.75</v>
      </c>
      <c r="L205" s="32">
        <f t="shared" si="256"/>
        <v>0</v>
      </c>
      <c r="M205" s="32">
        <f t="shared" si="256"/>
        <v>0</v>
      </c>
      <c r="N205" s="32">
        <f t="shared" si="256"/>
        <v>0.75</v>
      </c>
      <c r="O205" s="32">
        <f t="shared" si="256"/>
        <v>0.75</v>
      </c>
      <c r="P205" s="32">
        <f t="shared" si="256"/>
        <v>0.75</v>
      </c>
      <c r="Q205" s="32">
        <f t="shared" si="256"/>
        <v>0.75</v>
      </c>
      <c r="R205" s="32">
        <f t="shared" si="256"/>
        <v>0.75</v>
      </c>
      <c r="S205" s="32">
        <f t="shared" si="256"/>
        <v>0</v>
      </c>
      <c r="T205" s="32">
        <f t="shared" si="256"/>
        <v>0</v>
      </c>
      <c r="U205" s="32">
        <f t="shared" si="256"/>
        <v>0</v>
      </c>
      <c r="V205" s="32">
        <f aca="true" t="shared" si="257" ref="V205:AF205">IF(ISERROR(V165*V122),0,V165*V122)</f>
        <v>0</v>
      </c>
      <c r="W205" s="32">
        <f t="shared" si="257"/>
        <v>0</v>
      </c>
      <c r="X205" s="32">
        <f t="shared" si="257"/>
        <v>0</v>
      </c>
      <c r="Y205" s="32">
        <f t="shared" si="257"/>
        <v>0</v>
      </c>
      <c r="Z205" s="32">
        <f t="shared" si="257"/>
        <v>0</v>
      </c>
      <c r="AA205" s="32">
        <f t="shared" si="257"/>
        <v>0</v>
      </c>
      <c r="AB205" s="32">
        <f t="shared" si="257"/>
        <v>0</v>
      </c>
      <c r="AC205" s="32">
        <f t="shared" si="257"/>
        <v>0</v>
      </c>
      <c r="AD205" s="32">
        <f t="shared" si="257"/>
        <v>0</v>
      </c>
      <c r="AE205" s="32">
        <f t="shared" si="257"/>
        <v>0</v>
      </c>
      <c r="AF205" s="32">
        <f t="shared" si="257"/>
        <v>0</v>
      </c>
    </row>
    <row r="206" spans="4:32" ht="12.75">
      <c r="D206" s="9" t="s">
        <v>22</v>
      </c>
      <c r="F206" s="32">
        <f aca="true" t="shared" si="258" ref="F206:U206">IF(ISERROR(F166*F123),0,F166*F123)</f>
        <v>0.75</v>
      </c>
      <c r="G206" s="32">
        <f t="shared" si="258"/>
        <v>0.75</v>
      </c>
      <c r="H206" s="32">
        <f t="shared" si="258"/>
        <v>0.75</v>
      </c>
      <c r="I206" s="32">
        <f t="shared" si="258"/>
        <v>0.75</v>
      </c>
      <c r="J206" s="32">
        <f t="shared" si="258"/>
        <v>20.25</v>
      </c>
      <c r="K206" s="32">
        <f t="shared" si="258"/>
        <v>0.75</v>
      </c>
      <c r="L206" s="32">
        <f t="shared" si="258"/>
        <v>0</v>
      </c>
      <c r="M206" s="32">
        <f t="shared" si="258"/>
        <v>0</v>
      </c>
      <c r="N206" s="32">
        <f t="shared" si="258"/>
        <v>0.75</v>
      </c>
      <c r="O206" s="32">
        <f t="shared" si="258"/>
        <v>0.75</v>
      </c>
      <c r="P206" s="32">
        <f t="shared" si="258"/>
        <v>0.75</v>
      </c>
      <c r="Q206" s="32">
        <f t="shared" si="258"/>
        <v>0.75</v>
      </c>
      <c r="R206" s="32">
        <f t="shared" si="258"/>
        <v>0.75</v>
      </c>
      <c r="S206" s="32">
        <f t="shared" si="258"/>
        <v>0</v>
      </c>
      <c r="T206" s="32">
        <f t="shared" si="258"/>
        <v>0</v>
      </c>
      <c r="U206" s="32">
        <f t="shared" si="258"/>
        <v>0</v>
      </c>
      <c r="V206" s="32">
        <f aca="true" t="shared" si="259" ref="V206:AF206">IF(ISERROR(V166*V123),0,V166*V123)</f>
        <v>0</v>
      </c>
      <c r="W206" s="32">
        <f t="shared" si="259"/>
        <v>0</v>
      </c>
      <c r="X206" s="32">
        <f t="shared" si="259"/>
        <v>0</v>
      </c>
      <c r="Y206" s="32">
        <f t="shared" si="259"/>
        <v>0</v>
      </c>
      <c r="Z206" s="32">
        <f t="shared" si="259"/>
        <v>0</v>
      </c>
      <c r="AA206" s="32">
        <f t="shared" si="259"/>
        <v>0</v>
      </c>
      <c r="AB206" s="32">
        <f t="shared" si="259"/>
        <v>0</v>
      </c>
      <c r="AC206" s="32">
        <f t="shared" si="259"/>
        <v>0</v>
      </c>
      <c r="AD206" s="32">
        <f t="shared" si="259"/>
        <v>0</v>
      </c>
      <c r="AE206" s="32">
        <f t="shared" si="259"/>
        <v>0</v>
      </c>
      <c r="AF206" s="32">
        <f t="shared" si="259"/>
        <v>0</v>
      </c>
    </row>
    <row r="207" spans="4:32" ht="12.75">
      <c r="D207" s="9" t="s">
        <v>23</v>
      </c>
      <c r="F207" s="32">
        <f aca="true" t="shared" si="260" ref="F207:U207">IF(ISERROR(F167*F124),0,F167*F124)</f>
        <v>0.75</v>
      </c>
      <c r="G207" s="32">
        <f t="shared" si="260"/>
        <v>0.75</v>
      </c>
      <c r="H207" s="32">
        <f t="shared" si="260"/>
        <v>0.75</v>
      </c>
      <c r="I207" s="32">
        <f t="shared" si="260"/>
        <v>0.75</v>
      </c>
      <c r="J207" s="32">
        <f t="shared" si="260"/>
        <v>20.25</v>
      </c>
      <c r="K207" s="32">
        <f t="shared" si="260"/>
        <v>20.25</v>
      </c>
      <c r="L207" s="32">
        <f t="shared" si="260"/>
        <v>0</v>
      </c>
      <c r="M207" s="32">
        <f t="shared" si="260"/>
        <v>0</v>
      </c>
      <c r="N207" s="32">
        <f t="shared" si="260"/>
        <v>0.75</v>
      </c>
      <c r="O207" s="32">
        <f t="shared" si="260"/>
        <v>0.75</v>
      </c>
      <c r="P207" s="32">
        <f t="shared" si="260"/>
        <v>0.75</v>
      </c>
      <c r="Q207" s="32">
        <f t="shared" si="260"/>
        <v>0.75</v>
      </c>
      <c r="R207" s="32">
        <f t="shared" si="260"/>
        <v>20.25</v>
      </c>
      <c r="S207" s="32">
        <f t="shared" si="260"/>
        <v>0</v>
      </c>
      <c r="T207" s="32">
        <f t="shared" si="260"/>
        <v>0</v>
      </c>
      <c r="U207" s="32">
        <f t="shared" si="260"/>
        <v>0</v>
      </c>
      <c r="V207" s="32">
        <f aca="true" t="shared" si="261" ref="V207:AF207">IF(ISERROR(V167*V124),0,V167*V124)</f>
        <v>0</v>
      </c>
      <c r="W207" s="32">
        <f t="shared" si="261"/>
        <v>0</v>
      </c>
      <c r="X207" s="32">
        <f t="shared" si="261"/>
        <v>0</v>
      </c>
      <c r="Y207" s="32">
        <f t="shared" si="261"/>
        <v>0</v>
      </c>
      <c r="Z207" s="32">
        <f t="shared" si="261"/>
        <v>0</v>
      </c>
      <c r="AA207" s="32">
        <f t="shared" si="261"/>
        <v>0</v>
      </c>
      <c r="AB207" s="32">
        <f t="shared" si="261"/>
        <v>0</v>
      </c>
      <c r="AC207" s="32">
        <f t="shared" si="261"/>
        <v>0</v>
      </c>
      <c r="AD207" s="32">
        <f t="shared" si="261"/>
        <v>0</v>
      </c>
      <c r="AE207" s="32">
        <f t="shared" si="261"/>
        <v>0</v>
      </c>
      <c r="AF207" s="32">
        <f t="shared" si="261"/>
        <v>0</v>
      </c>
    </row>
    <row r="208" spans="4:32" ht="12.75">
      <c r="D208" s="9" t="s">
        <v>24</v>
      </c>
      <c r="F208" s="32">
        <f aca="true" t="shared" si="262" ref="F208:U208">IF(ISERROR(F168*F125),0,F168*F125)</f>
        <v>0.75</v>
      </c>
      <c r="G208" s="32">
        <f t="shared" si="262"/>
        <v>0.75</v>
      </c>
      <c r="H208" s="32">
        <f t="shared" si="262"/>
        <v>0.75</v>
      </c>
      <c r="I208" s="32">
        <f t="shared" si="262"/>
        <v>20.25</v>
      </c>
      <c r="J208" s="32">
        <f t="shared" si="262"/>
        <v>20.25</v>
      </c>
      <c r="K208" s="32">
        <f t="shared" si="262"/>
        <v>20.25</v>
      </c>
      <c r="L208" s="32">
        <f t="shared" si="262"/>
        <v>0</v>
      </c>
      <c r="M208" s="32">
        <f t="shared" si="262"/>
        <v>0</v>
      </c>
      <c r="N208" s="32">
        <f t="shared" si="262"/>
        <v>0.75</v>
      </c>
      <c r="O208" s="32">
        <f t="shared" si="262"/>
        <v>0.75</v>
      </c>
      <c r="P208" s="32">
        <f t="shared" si="262"/>
        <v>0.75</v>
      </c>
      <c r="Q208" s="32">
        <f t="shared" si="262"/>
        <v>0.75</v>
      </c>
      <c r="R208" s="32">
        <f t="shared" si="262"/>
        <v>0.75</v>
      </c>
      <c r="S208" s="32">
        <f t="shared" si="262"/>
        <v>0</v>
      </c>
      <c r="T208" s="32">
        <f t="shared" si="262"/>
        <v>0</v>
      </c>
      <c r="U208" s="32">
        <f t="shared" si="262"/>
        <v>0</v>
      </c>
      <c r="V208" s="32">
        <f aca="true" t="shared" si="263" ref="V208:AF208">IF(ISERROR(V168*V125),0,V168*V125)</f>
        <v>0</v>
      </c>
      <c r="W208" s="32">
        <f t="shared" si="263"/>
        <v>0</v>
      </c>
      <c r="X208" s="32">
        <f t="shared" si="263"/>
        <v>0</v>
      </c>
      <c r="Y208" s="32">
        <f t="shared" si="263"/>
        <v>0</v>
      </c>
      <c r="Z208" s="32">
        <f t="shared" si="263"/>
        <v>0</v>
      </c>
      <c r="AA208" s="32">
        <f t="shared" si="263"/>
        <v>0</v>
      </c>
      <c r="AB208" s="32">
        <f t="shared" si="263"/>
        <v>0</v>
      </c>
      <c r="AC208" s="32">
        <f t="shared" si="263"/>
        <v>0</v>
      </c>
      <c r="AD208" s="32">
        <f t="shared" si="263"/>
        <v>0</v>
      </c>
      <c r="AE208" s="32">
        <f t="shared" si="263"/>
        <v>0</v>
      </c>
      <c r="AF208" s="32">
        <f t="shared" si="263"/>
        <v>0</v>
      </c>
    </row>
    <row r="209" spans="4:32" ht="12.75">
      <c r="D209" s="27"/>
      <c r="F209" s="32">
        <f aca="true" t="shared" si="264" ref="F209:U209">IF(ISERROR(F169*F126),0,F169*F126)</f>
        <v>0</v>
      </c>
      <c r="G209" s="32">
        <f t="shared" si="264"/>
        <v>0</v>
      </c>
      <c r="H209" s="32">
        <f t="shared" si="264"/>
        <v>0</v>
      </c>
      <c r="I209" s="32">
        <f t="shared" si="264"/>
        <v>0</v>
      </c>
      <c r="J209" s="32">
        <f t="shared" si="264"/>
        <v>0</v>
      </c>
      <c r="K209" s="32">
        <f t="shared" si="264"/>
        <v>0</v>
      </c>
      <c r="L209" s="32">
        <f t="shared" si="264"/>
        <v>0</v>
      </c>
      <c r="M209" s="32">
        <f t="shared" si="264"/>
        <v>0</v>
      </c>
      <c r="N209" s="32">
        <f t="shared" si="264"/>
        <v>0</v>
      </c>
      <c r="O209" s="32">
        <f t="shared" si="264"/>
        <v>0</v>
      </c>
      <c r="P209" s="32">
        <f t="shared" si="264"/>
        <v>0</v>
      </c>
      <c r="Q209" s="32">
        <f t="shared" si="264"/>
        <v>0</v>
      </c>
      <c r="R209" s="32">
        <f t="shared" si="264"/>
        <v>0</v>
      </c>
      <c r="S209" s="32">
        <f t="shared" si="264"/>
        <v>0</v>
      </c>
      <c r="T209" s="32">
        <f t="shared" si="264"/>
        <v>0</v>
      </c>
      <c r="U209" s="32">
        <f t="shared" si="264"/>
        <v>0</v>
      </c>
      <c r="V209" s="32">
        <f aca="true" t="shared" si="265" ref="V209:AF209">IF(ISERROR(V169*V126),0,V169*V126)</f>
        <v>0</v>
      </c>
      <c r="W209" s="32">
        <f t="shared" si="265"/>
        <v>0</v>
      </c>
      <c r="X209" s="32">
        <f t="shared" si="265"/>
        <v>0</v>
      </c>
      <c r="Y209" s="32">
        <f t="shared" si="265"/>
        <v>0</v>
      </c>
      <c r="Z209" s="32">
        <f t="shared" si="265"/>
        <v>0</v>
      </c>
      <c r="AA209" s="32">
        <f t="shared" si="265"/>
        <v>0</v>
      </c>
      <c r="AB209" s="32">
        <f t="shared" si="265"/>
        <v>0</v>
      </c>
      <c r="AC209" s="32">
        <f t="shared" si="265"/>
        <v>0</v>
      </c>
      <c r="AD209" s="32">
        <f t="shared" si="265"/>
        <v>0</v>
      </c>
      <c r="AE209" s="32">
        <f t="shared" si="265"/>
        <v>0</v>
      </c>
      <c r="AF209" s="32">
        <f t="shared" si="265"/>
        <v>0</v>
      </c>
    </row>
    <row r="210" spans="4:32" ht="12.75">
      <c r="D210" s="9" t="s">
        <v>28</v>
      </c>
      <c r="F210" s="32">
        <f aca="true" t="shared" si="266" ref="F210:U210">IF(ISERROR(F170*F127),0,F170*F127)</f>
        <v>0</v>
      </c>
      <c r="G210" s="32">
        <f t="shared" si="266"/>
        <v>0</v>
      </c>
      <c r="H210" s="32">
        <f t="shared" si="266"/>
        <v>2.106</v>
      </c>
      <c r="I210" s="32">
        <f t="shared" si="266"/>
        <v>2.106</v>
      </c>
      <c r="J210" s="32">
        <f t="shared" si="266"/>
        <v>2.106</v>
      </c>
      <c r="K210" s="32">
        <f t="shared" si="266"/>
        <v>2.106</v>
      </c>
      <c r="L210" s="32">
        <f t="shared" si="266"/>
        <v>0</v>
      </c>
      <c r="M210" s="32">
        <f t="shared" si="266"/>
        <v>0</v>
      </c>
      <c r="N210" s="32">
        <f t="shared" si="266"/>
        <v>0.078</v>
      </c>
      <c r="O210" s="32">
        <f t="shared" si="266"/>
        <v>2.106</v>
      </c>
      <c r="P210" s="32">
        <f t="shared" si="266"/>
        <v>0</v>
      </c>
      <c r="Q210" s="32">
        <f t="shared" si="266"/>
        <v>0</v>
      </c>
      <c r="R210" s="45">
        <f t="shared" si="266"/>
        <v>2.106</v>
      </c>
      <c r="S210" s="32">
        <f t="shared" si="266"/>
        <v>0</v>
      </c>
      <c r="T210" s="32">
        <f t="shared" si="266"/>
        <v>0</v>
      </c>
      <c r="U210" s="32">
        <f t="shared" si="266"/>
        <v>0</v>
      </c>
      <c r="V210" s="32">
        <f aca="true" t="shared" si="267" ref="V210:AF210">IF(ISERROR(V170*V127),0,V170*V127)</f>
        <v>0</v>
      </c>
      <c r="W210" s="32">
        <f t="shared" si="267"/>
        <v>0</v>
      </c>
      <c r="X210" s="32">
        <f t="shared" si="267"/>
        <v>0</v>
      </c>
      <c r="Y210" s="32">
        <f t="shared" si="267"/>
        <v>0</v>
      </c>
      <c r="Z210" s="32">
        <f t="shared" si="267"/>
        <v>0</v>
      </c>
      <c r="AA210" s="32">
        <f t="shared" si="267"/>
        <v>0</v>
      </c>
      <c r="AB210" s="32">
        <f t="shared" si="267"/>
        <v>0</v>
      </c>
      <c r="AC210" s="32">
        <f t="shared" si="267"/>
        <v>0</v>
      </c>
      <c r="AD210" s="32">
        <f t="shared" si="267"/>
        <v>0</v>
      </c>
      <c r="AE210" s="32">
        <f t="shared" si="267"/>
        <v>0</v>
      </c>
      <c r="AF210" s="32">
        <f t="shared" si="267"/>
        <v>0</v>
      </c>
    </row>
    <row r="211" spans="4:32" ht="12.75">
      <c r="D211" s="9" t="s">
        <v>29</v>
      </c>
      <c r="F211" s="32">
        <f aca="true" t="shared" si="268" ref="F211:U211">IF(ISERROR(F171*F128),0,F171*F128)</f>
        <v>0</v>
      </c>
      <c r="G211" s="32">
        <f t="shared" si="268"/>
        <v>0</v>
      </c>
      <c r="H211" s="32">
        <f t="shared" si="268"/>
        <v>2.106</v>
      </c>
      <c r="I211" s="32">
        <f t="shared" si="268"/>
        <v>2.106</v>
      </c>
      <c r="J211" s="32">
        <f t="shared" si="268"/>
        <v>0.078</v>
      </c>
      <c r="K211" s="32">
        <f t="shared" si="268"/>
        <v>2.106</v>
      </c>
      <c r="L211" s="32">
        <f t="shared" si="268"/>
        <v>0</v>
      </c>
      <c r="M211" s="32">
        <f t="shared" si="268"/>
        <v>0</v>
      </c>
      <c r="N211" s="32">
        <f t="shared" si="268"/>
        <v>0.078</v>
      </c>
      <c r="O211" s="32">
        <f t="shared" si="268"/>
        <v>0.078</v>
      </c>
      <c r="P211" s="32">
        <f t="shared" si="268"/>
        <v>0</v>
      </c>
      <c r="Q211" s="32">
        <f t="shared" si="268"/>
        <v>0</v>
      </c>
      <c r="R211" s="45">
        <f t="shared" si="268"/>
        <v>2.106</v>
      </c>
      <c r="S211" s="32">
        <f t="shared" si="268"/>
        <v>0</v>
      </c>
      <c r="T211" s="32">
        <f t="shared" si="268"/>
        <v>0</v>
      </c>
      <c r="U211" s="32">
        <f t="shared" si="268"/>
        <v>0</v>
      </c>
      <c r="V211" s="32">
        <f aca="true" t="shared" si="269" ref="V211:AF211">IF(ISERROR(V171*V128),0,V171*V128)</f>
        <v>0</v>
      </c>
      <c r="W211" s="32">
        <f t="shared" si="269"/>
        <v>0</v>
      </c>
      <c r="X211" s="32">
        <f t="shared" si="269"/>
        <v>0</v>
      </c>
      <c r="Y211" s="32">
        <f t="shared" si="269"/>
        <v>0</v>
      </c>
      <c r="Z211" s="32">
        <f t="shared" si="269"/>
        <v>0</v>
      </c>
      <c r="AA211" s="32">
        <f t="shared" si="269"/>
        <v>0</v>
      </c>
      <c r="AB211" s="32">
        <f t="shared" si="269"/>
        <v>0</v>
      </c>
      <c r="AC211" s="32">
        <f t="shared" si="269"/>
        <v>0</v>
      </c>
      <c r="AD211" s="32">
        <f t="shared" si="269"/>
        <v>0</v>
      </c>
      <c r="AE211" s="32">
        <f t="shared" si="269"/>
        <v>0</v>
      </c>
      <c r="AF211" s="32">
        <f t="shared" si="269"/>
        <v>0</v>
      </c>
    </row>
    <row r="212" spans="4:32" ht="12.75">
      <c r="D212" s="9" t="s">
        <v>30</v>
      </c>
      <c r="F212" s="32">
        <f aca="true" t="shared" si="270" ref="F212:U212">IF(ISERROR(F172*F129),0,F172*F129)</f>
        <v>0</v>
      </c>
      <c r="G212" s="32">
        <f t="shared" si="270"/>
        <v>0</v>
      </c>
      <c r="H212" s="32">
        <f t="shared" si="270"/>
        <v>2.106</v>
      </c>
      <c r="I212" s="32">
        <f t="shared" si="270"/>
        <v>2.106</v>
      </c>
      <c r="J212" s="32">
        <f t="shared" si="270"/>
        <v>0.078</v>
      </c>
      <c r="K212" s="32">
        <f t="shared" si="270"/>
        <v>0.078</v>
      </c>
      <c r="L212" s="32">
        <f t="shared" si="270"/>
        <v>0</v>
      </c>
      <c r="M212" s="32">
        <f t="shared" si="270"/>
        <v>0</v>
      </c>
      <c r="N212" s="32">
        <f t="shared" si="270"/>
        <v>0.078</v>
      </c>
      <c r="O212" s="32">
        <f t="shared" si="270"/>
        <v>0.078</v>
      </c>
      <c r="P212" s="32">
        <f t="shared" si="270"/>
        <v>0</v>
      </c>
      <c r="Q212" s="32">
        <f t="shared" si="270"/>
        <v>0</v>
      </c>
      <c r="R212" s="45">
        <f t="shared" si="270"/>
        <v>2.106</v>
      </c>
      <c r="S212" s="32">
        <f t="shared" si="270"/>
        <v>0</v>
      </c>
      <c r="T212" s="32">
        <f t="shared" si="270"/>
        <v>0</v>
      </c>
      <c r="U212" s="32">
        <f t="shared" si="270"/>
        <v>0</v>
      </c>
      <c r="V212" s="32">
        <f aca="true" t="shared" si="271" ref="V212:AF212">IF(ISERROR(V172*V129),0,V172*V129)</f>
        <v>0</v>
      </c>
      <c r="W212" s="32">
        <f t="shared" si="271"/>
        <v>0</v>
      </c>
      <c r="X212" s="32">
        <f t="shared" si="271"/>
        <v>0</v>
      </c>
      <c r="Y212" s="32">
        <f t="shared" si="271"/>
        <v>0</v>
      </c>
      <c r="Z212" s="32">
        <f t="shared" si="271"/>
        <v>0</v>
      </c>
      <c r="AA212" s="32">
        <f t="shared" si="271"/>
        <v>0</v>
      </c>
      <c r="AB212" s="32">
        <f t="shared" si="271"/>
        <v>0</v>
      </c>
      <c r="AC212" s="32">
        <f t="shared" si="271"/>
        <v>0</v>
      </c>
      <c r="AD212" s="32">
        <f t="shared" si="271"/>
        <v>0</v>
      </c>
      <c r="AE212" s="32">
        <f t="shared" si="271"/>
        <v>0</v>
      </c>
      <c r="AF212" s="32">
        <f t="shared" si="271"/>
        <v>0</v>
      </c>
    </row>
    <row r="213" spans="4:32" ht="12.75">
      <c r="D213" s="10" t="s">
        <v>31</v>
      </c>
      <c r="F213" s="32">
        <f aca="true" t="shared" si="272" ref="F213:U213">IF(ISERROR(F173*F130),0,F173*F130)</f>
        <v>0</v>
      </c>
      <c r="G213" s="32">
        <f t="shared" si="272"/>
        <v>0</v>
      </c>
      <c r="H213" s="32">
        <f t="shared" si="272"/>
        <v>0.23399999999999999</v>
      </c>
      <c r="I213" s="32">
        <f t="shared" si="272"/>
        <v>6.318</v>
      </c>
      <c r="J213" s="32">
        <f t="shared" si="272"/>
        <v>0.23399999999999999</v>
      </c>
      <c r="K213" s="32">
        <f t="shared" si="272"/>
        <v>0.23399999999999999</v>
      </c>
      <c r="L213" s="32">
        <f t="shared" si="272"/>
        <v>0</v>
      </c>
      <c r="M213" s="32">
        <f t="shared" si="272"/>
        <v>0</v>
      </c>
      <c r="N213" s="32">
        <f t="shared" si="272"/>
        <v>0.23399999999999999</v>
      </c>
      <c r="O213" s="32">
        <f t="shared" si="272"/>
        <v>0.23399999999999999</v>
      </c>
      <c r="P213" s="32">
        <f t="shared" si="272"/>
        <v>0</v>
      </c>
      <c r="Q213" s="32">
        <f t="shared" si="272"/>
        <v>0</v>
      </c>
      <c r="R213" s="45">
        <f t="shared" si="272"/>
        <v>6.318</v>
      </c>
      <c r="S213" s="32">
        <f t="shared" si="272"/>
        <v>0</v>
      </c>
      <c r="T213" s="32">
        <f t="shared" si="272"/>
        <v>0</v>
      </c>
      <c r="U213" s="32">
        <f t="shared" si="272"/>
        <v>0</v>
      </c>
      <c r="V213" s="32">
        <f aca="true" t="shared" si="273" ref="V213:AF213">IF(ISERROR(V173*V130),0,V173*V130)</f>
        <v>0</v>
      </c>
      <c r="W213" s="32">
        <f t="shared" si="273"/>
        <v>0</v>
      </c>
      <c r="X213" s="32">
        <f t="shared" si="273"/>
        <v>0</v>
      </c>
      <c r="Y213" s="32">
        <f t="shared" si="273"/>
        <v>0</v>
      </c>
      <c r="Z213" s="32">
        <f t="shared" si="273"/>
        <v>0</v>
      </c>
      <c r="AA213" s="32">
        <f t="shared" si="273"/>
        <v>0</v>
      </c>
      <c r="AB213" s="32">
        <f t="shared" si="273"/>
        <v>0</v>
      </c>
      <c r="AC213" s="32">
        <f t="shared" si="273"/>
        <v>0</v>
      </c>
      <c r="AD213" s="32">
        <f t="shared" si="273"/>
        <v>0</v>
      </c>
      <c r="AE213" s="32">
        <f t="shared" si="273"/>
        <v>0</v>
      </c>
      <c r="AF213" s="32">
        <f t="shared" si="273"/>
        <v>0</v>
      </c>
    </row>
    <row r="214" spans="4:32" ht="12.75">
      <c r="D214" s="9" t="s">
        <v>32</v>
      </c>
      <c r="F214" s="32">
        <f aca="true" t="shared" si="274" ref="F214:U214">IF(ISERROR(F174*F131),0,F174*F131)</f>
        <v>0</v>
      </c>
      <c r="G214" s="32">
        <f t="shared" si="274"/>
        <v>0</v>
      </c>
      <c r="H214" s="32">
        <f t="shared" si="274"/>
        <v>0.078</v>
      </c>
      <c r="I214" s="32">
        <f t="shared" si="274"/>
        <v>0.078</v>
      </c>
      <c r="J214" s="32">
        <f t="shared" si="274"/>
        <v>0.078</v>
      </c>
      <c r="K214" s="32">
        <f t="shared" si="274"/>
        <v>0.078</v>
      </c>
      <c r="L214" s="32">
        <f t="shared" si="274"/>
        <v>0</v>
      </c>
      <c r="M214" s="32">
        <f t="shared" si="274"/>
        <v>0</v>
      </c>
      <c r="N214" s="32">
        <f t="shared" si="274"/>
        <v>0.078</v>
      </c>
      <c r="O214" s="32">
        <f t="shared" si="274"/>
        <v>2.106</v>
      </c>
      <c r="P214" s="32">
        <f t="shared" si="274"/>
        <v>0</v>
      </c>
      <c r="Q214" s="32">
        <f t="shared" si="274"/>
        <v>0</v>
      </c>
      <c r="R214" s="45">
        <f t="shared" si="274"/>
        <v>2.106</v>
      </c>
      <c r="S214" s="32">
        <f t="shared" si="274"/>
        <v>0</v>
      </c>
      <c r="T214" s="32">
        <f t="shared" si="274"/>
        <v>0</v>
      </c>
      <c r="U214" s="32">
        <f t="shared" si="274"/>
        <v>0</v>
      </c>
      <c r="V214" s="32">
        <f aca="true" t="shared" si="275" ref="V214:AF214">IF(ISERROR(V174*V131),0,V174*V131)</f>
        <v>0</v>
      </c>
      <c r="W214" s="32">
        <f t="shared" si="275"/>
        <v>0</v>
      </c>
      <c r="X214" s="32">
        <f t="shared" si="275"/>
        <v>0</v>
      </c>
      <c r="Y214" s="32">
        <f t="shared" si="275"/>
        <v>0</v>
      </c>
      <c r="Z214" s="32">
        <f t="shared" si="275"/>
        <v>0</v>
      </c>
      <c r="AA214" s="32">
        <f t="shared" si="275"/>
        <v>0</v>
      </c>
      <c r="AB214" s="32">
        <f t="shared" si="275"/>
        <v>0</v>
      </c>
      <c r="AC214" s="32">
        <f t="shared" si="275"/>
        <v>0</v>
      </c>
      <c r="AD214" s="32">
        <f t="shared" si="275"/>
        <v>0</v>
      </c>
      <c r="AE214" s="32">
        <f t="shared" si="275"/>
        <v>0</v>
      </c>
      <c r="AF214" s="32">
        <f t="shared" si="275"/>
        <v>0</v>
      </c>
    </row>
    <row r="215" spans="4:32" ht="12.75">
      <c r="D215" s="9" t="s">
        <v>33</v>
      </c>
      <c r="F215" s="32">
        <f aca="true" t="shared" si="276" ref="F215:U215">IF(ISERROR(F175*F132),0,F175*F132)</f>
        <v>0</v>
      </c>
      <c r="G215" s="32">
        <f t="shared" si="276"/>
        <v>0</v>
      </c>
      <c r="H215" s="32">
        <f t="shared" si="276"/>
        <v>0.078</v>
      </c>
      <c r="I215" s="32">
        <f t="shared" si="276"/>
        <v>0.078</v>
      </c>
      <c r="J215" s="32">
        <f t="shared" si="276"/>
        <v>0.078</v>
      </c>
      <c r="K215" s="32">
        <f t="shared" si="276"/>
        <v>0.078</v>
      </c>
      <c r="L215" s="32">
        <f t="shared" si="276"/>
        <v>0</v>
      </c>
      <c r="M215" s="32">
        <f t="shared" si="276"/>
        <v>0</v>
      </c>
      <c r="N215" s="32">
        <f t="shared" si="276"/>
        <v>0.078</v>
      </c>
      <c r="O215" s="32">
        <f t="shared" si="276"/>
        <v>2.106</v>
      </c>
      <c r="P215" s="32">
        <f t="shared" si="276"/>
        <v>0</v>
      </c>
      <c r="Q215" s="32">
        <f t="shared" si="276"/>
        <v>0</v>
      </c>
      <c r="R215" s="45">
        <f t="shared" si="276"/>
        <v>2.106</v>
      </c>
      <c r="S215" s="32">
        <f t="shared" si="276"/>
        <v>0</v>
      </c>
      <c r="T215" s="32">
        <f t="shared" si="276"/>
        <v>0</v>
      </c>
      <c r="U215" s="32">
        <f t="shared" si="276"/>
        <v>0</v>
      </c>
      <c r="V215" s="32">
        <f aca="true" t="shared" si="277" ref="V215:AF215">IF(ISERROR(V175*V132),0,V175*V132)</f>
        <v>0</v>
      </c>
      <c r="W215" s="32">
        <f t="shared" si="277"/>
        <v>0</v>
      </c>
      <c r="X215" s="32">
        <f t="shared" si="277"/>
        <v>0</v>
      </c>
      <c r="Y215" s="32">
        <f t="shared" si="277"/>
        <v>0</v>
      </c>
      <c r="Z215" s="32">
        <f t="shared" si="277"/>
        <v>0</v>
      </c>
      <c r="AA215" s="32">
        <f t="shared" si="277"/>
        <v>0</v>
      </c>
      <c r="AB215" s="32">
        <f t="shared" si="277"/>
        <v>0</v>
      </c>
      <c r="AC215" s="32">
        <f t="shared" si="277"/>
        <v>0</v>
      </c>
      <c r="AD215" s="32">
        <f t="shared" si="277"/>
        <v>0</v>
      </c>
      <c r="AE215" s="32">
        <f t="shared" si="277"/>
        <v>0</v>
      </c>
      <c r="AF215" s="32">
        <f t="shared" si="277"/>
        <v>0</v>
      </c>
    </row>
    <row r="216" spans="4:32" ht="12.75">
      <c r="D216" s="9" t="s">
        <v>34</v>
      </c>
      <c r="F216" s="32">
        <f aca="true" t="shared" si="278" ref="F216:U216">IF(ISERROR(F176*F133),0,F176*F133)</f>
        <v>0</v>
      </c>
      <c r="G216" s="32">
        <f t="shared" si="278"/>
        <v>0</v>
      </c>
      <c r="H216" s="32">
        <f t="shared" si="278"/>
        <v>0.078</v>
      </c>
      <c r="I216" s="32">
        <f t="shared" si="278"/>
        <v>0.078</v>
      </c>
      <c r="J216" s="32">
        <f t="shared" si="278"/>
        <v>0.078</v>
      </c>
      <c r="K216" s="32">
        <f t="shared" si="278"/>
        <v>0.078</v>
      </c>
      <c r="L216" s="32">
        <f t="shared" si="278"/>
        <v>0</v>
      </c>
      <c r="M216" s="32">
        <f t="shared" si="278"/>
        <v>0</v>
      </c>
      <c r="N216" s="32">
        <f t="shared" si="278"/>
        <v>0.078</v>
      </c>
      <c r="O216" s="32">
        <f t="shared" si="278"/>
        <v>0.078</v>
      </c>
      <c r="P216" s="32">
        <f t="shared" si="278"/>
        <v>0</v>
      </c>
      <c r="Q216" s="32">
        <f t="shared" si="278"/>
        <v>0</v>
      </c>
      <c r="R216" s="45">
        <f t="shared" si="278"/>
        <v>2.106</v>
      </c>
      <c r="S216" s="32">
        <f t="shared" si="278"/>
        <v>0</v>
      </c>
      <c r="T216" s="32">
        <f t="shared" si="278"/>
        <v>0</v>
      </c>
      <c r="U216" s="32">
        <f t="shared" si="278"/>
        <v>0</v>
      </c>
      <c r="V216" s="32">
        <f aca="true" t="shared" si="279" ref="V216:AF216">IF(ISERROR(V176*V133),0,V176*V133)</f>
        <v>0</v>
      </c>
      <c r="W216" s="32">
        <f t="shared" si="279"/>
        <v>0</v>
      </c>
      <c r="X216" s="32">
        <f t="shared" si="279"/>
        <v>0</v>
      </c>
      <c r="Y216" s="32">
        <f t="shared" si="279"/>
        <v>0</v>
      </c>
      <c r="Z216" s="32">
        <f t="shared" si="279"/>
        <v>0</v>
      </c>
      <c r="AA216" s="32">
        <f t="shared" si="279"/>
        <v>0</v>
      </c>
      <c r="AB216" s="32">
        <f t="shared" si="279"/>
        <v>0</v>
      </c>
      <c r="AC216" s="32">
        <f t="shared" si="279"/>
        <v>0</v>
      </c>
      <c r="AD216" s="32">
        <f t="shared" si="279"/>
        <v>0</v>
      </c>
      <c r="AE216" s="32">
        <f t="shared" si="279"/>
        <v>0</v>
      </c>
      <c r="AF216" s="32">
        <f t="shared" si="279"/>
        <v>0</v>
      </c>
    </row>
    <row r="217" spans="4:32" ht="12.75">
      <c r="D217" s="9" t="s">
        <v>35</v>
      </c>
      <c r="F217" s="32">
        <f aca="true" t="shared" si="280" ref="F217:U217">IF(ISERROR(F177*F134),0,F177*F134)</f>
        <v>0</v>
      </c>
      <c r="G217" s="32">
        <f t="shared" si="280"/>
        <v>0</v>
      </c>
      <c r="H217" s="32">
        <f t="shared" si="280"/>
        <v>0.078</v>
      </c>
      <c r="I217" s="32">
        <f t="shared" si="280"/>
        <v>0.078</v>
      </c>
      <c r="J217" s="32">
        <f t="shared" si="280"/>
        <v>0.078</v>
      </c>
      <c r="K217" s="32">
        <f t="shared" si="280"/>
        <v>0.078</v>
      </c>
      <c r="L217" s="32">
        <f t="shared" si="280"/>
        <v>0</v>
      </c>
      <c r="M217" s="32">
        <f t="shared" si="280"/>
        <v>0</v>
      </c>
      <c r="N217" s="32">
        <f t="shared" si="280"/>
        <v>0.078</v>
      </c>
      <c r="O217" s="32">
        <f t="shared" si="280"/>
        <v>2.106</v>
      </c>
      <c r="P217" s="32">
        <f t="shared" si="280"/>
        <v>0</v>
      </c>
      <c r="Q217" s="32">
        <f t="shared" si="280"/>
        <v>0</v>
      </c>
      <c r="R217" s="45">
        <f t="shared" si="280"/>
        <v>2.106</v>
      </c>
      <c r="S217" s="32">
        <f t="shared" si="280"/>
        <v>0</v>
      </c>
      <c r="T217" s="32">
        <f t="shared" si="280"/>
        <v>0</v>
      </c>
      <c r="U217" s="32">
        <f t="shared" si="280"/>
        <v>0</v>
      </c>
      <c r="V217" s="32">
        <f aca="true" t="shared" si="281" ref="V217:AF217">IF(ISERROR(V177*V134),0,V177*V134)</f>
        <v>0</v>
      </c>
      <c r="W217" s="32">
        <f t="shared" si="281"/>
        <v>0</v>
      </c>
      <c r="X217" s="32">
        <f t="shared" si="281"/>
        <v>0</v>
      </c>
      <c r="Y217" s="32">
        <f t="shared" si="281"/>
        <v>0</v>
      </c>
      <c r="Z217" s="32">
        <f t="shared" si="281"/>
        <v>0</v>
      </c>
      <c r="AA217" s="32">
        <f t="shared" si="281"/>
        <v>0</v>
      </c>
      <c r="AB217" s="32">
        <f t="shared" si="281"/>
        <v>0</v>
      </c>
      <c r="AC217" s="32">
        <f t="shared" si="281"/>
        <v>0</v>
      </c>
      <c r="AD217" s="32">
        <f t="shared" si="281"/>
        <v>0</v>
      </c>
      <c r="AE217" s="32">
        <f t="shared" si="281"/>
        <v>0</v>
      </c>
      <c r="AF217" s="32">
        <f t="shared" si="281"/>
        <v>0</v>
      </c>
    </row>
    <row r="218" spans="4:32" ht="12.75">
      <c r="D218" s="9" t="s">
        <v>36</v>
      </c>
      <c r="F218" s="32">
        <f aca="true" t="shared" si="282" ref="F218:U218">IF(ISERROR(F178*F135),0,F178*F135)</f>
        <v>0</v>
      </c>
      <c r="G218" s="32">
        <f t="shared" si="282"/>
        <v>0</v>
      </c>
      <c r="H218" s="32">
        <f t="shared" si="282"/>
        <v>0.078</v>
      </c>
      <c r="I218" s="32">
        <f t="shared" si="282"/>
        <v>0.078</v>
      </c>
      <c r="J218" s="32">
        <f t="shared" si="282"/>
        <v>0.078</v>
      </c>
      <c r="K218" s="32">
        <f t="shared" si="282"/>
        <v>0.078</v>
      </c>
      <c r="L218" s="32">
        <f t="shared" si="282"/>
        <v>0</v>
      </c>
      <c r="M218" s="32">
        <f t="shared" si="282"/>
        <v>0</v>
      </c>
      <c r="N218" s="32">
        <f t="shared" si="282"/>
        <v>0.078</v>
      </c>
      <c r="O218" s="32">
        <f t="shared" si="282"/>
        <v>0.078</v>
      </c>
      <c r="P218" s="32">
        <f t="shared" si="282"/>
        <v>0</v>
      </c>
      <c r="Q218" s="32">
        <f t="shared" si="282"/>
        <v>0</v>
      </c>
      <c r="R218" s="45">
        <f t="shared" si="282"/>
        <v>2.106</v>
      </c>
      <c r="S218" s="32">
        <f t="shared" si="282"/>
        <v>0</v>
      </c>
      <c r="T218" s="32">
        <f t="shared" si="282"/>
        <v>0</v>
      </c>
      <c r="U218" s="32">
        <f t="shared" si="282"/>
        <v>0</v>
      </c>
      <c r="V218" s="32">
        <f aca="true" t="shared" si="283" ref="V218:AF218">IF(ISERROR(V178*V135),0,V178*V135)</f>
        <v>0</v>
      </c>
      <c r="W218" s="32">
        <f t="shared" si="283"/>
        <v>0</v>
      </c>
      <c r="X218" s="32">
        <f t="shared" si="283"/>
        <v>0</v>
      </c>
      <c r="Y218" s="32">
        <f t="shared" si="283"/>
        <v>0</v>
      </c>
      <c r="Z218" s="32">
        <f t="shared" si="283"/>
        <v>0</v>
      </c>
      <c r="AA218" s="32">
        <f t="shared" si="283"/>
        <v>0</v>
      </c>
      <c r="AB218" s="32">
        <f t="shared" si="283"/>
        <v>0</v>
      </c>
      <c r="AC218" s="32">
        <f t="shared" si="283"/>
        <v>0</v>
      </c>
      <c r="AD218" s="32">
        <f t="shared" si="283"/>
        <v>0</v>
      </c>
      <c r="AE218" s="32">
        <f t="shared" si="283"/>
        <v>0</v>
      </c>
      <c r="AF218" s="32">
        <f t="shared" si="283"/>
        <v>0</v>
      </c>
    </row>
    <row r="219" spans="4:32" ht="12.75">
      <c r="D219" s="9" t="s">
        <v>37</v>
      </c>
      <c r="F219" s="32">
        <f aca="true" t="shared" si="284" ref="F219:U219">IF(ISERROR(F179*F136),0,F179*F136)</f>
        <v>0</v>
      </c>
      <c r="G219" s="32">
        <f t="shared" si="284"/>
        <v>0</v>
      </c>
      <c r="H219" s="32">
        <f t="shared" si="284"/>
        <v>0.078</v>
      </c>
      <c r="I219" s="32">
        <f t="shared" si="284"/>
        <v>0.078</v>
      </c>
      <c r="J219" s="32">
        <f t="shared" si="284"/>
        <v>0.078</v>
      </c>
      <c r="K219" s="32">
        <f t="shared" si="284"/>
        <v>0.078</v>
      </c>
      <c r="L219" s="32">
        <f t="shared" si="284"/>
        <v>0</v>
      </c>
      <c r="M219" s="32">
        <f t="shared" si="284"/>
        <v>0</v>
      </c>
      <c r="N219" s="32">
        <f t="shared" si="284"/>
        <v>0.078</v>
      </c>
      <c r="O219" s="32">
        <f t="shared" si="284"/>
        <v>0.078</v>
      </c>
      <c r="P219" s="32">
        <f t="shared" si="284"/>
        <v>0</v>
      </c>
      <c r="Q219" s="32">
        <f t="shared" si="284"/>
        <v>0</v>
      </c>
      <c r="R219" s="45">
        <f t="shared" si="284"/>
        <v>2.106</v>
      </c>
      <c r="S219" s="32">
        <f t="shared" si="284"/>
        <v>0</v>
      </c>
      <c r="T219" s="32">
        <f t="shared" si="284"/>
        <v>0</v>
      </c>
      <c r="U219" s="32">
        <f t="shared" si="284"/>
        <v>0</v>
      </c>
      <c r="V219" s="32">
        <f aca="true" t="shared" si="285" ref="V219:AF219">IF(ISERROR(V179*V136),0,V179*V136)</f>
        <v>0</v>
      </c>
      <c r="W219" s="32">
        <f t="shared" si="285"/>
        <v>0</v>
      </c>
      <c r="X219" s="32">
        <f t="shared" si="285"/>
        <v>0</v>
      </c>
      <c r="Y219" s="32">
        <f t="shared" si="285"/>
        <v>0</v>
      </c>
      <c r="Z219" s="32">
        <f t="shared" si="285"/>
        <v>0</v>
      </c>
      <c r="AA219" s="32">
        <f t="shared" si="285"/>
        <v>0</v>
      </c>
      <c r="AB219" s="32">
        <f t="shared" si="285"/>
        <v>0</v>
      </c>
      <c r="AC219" s="32">
        <f t="shared" si="285"/>
        <v>0</v>
      </c>
      <c r="AD219" s="32">
        <f t="shared" si="285"/>
        <v>0</v>
      </c>
      <c r="AE219" s="32">
        <f t="shared" si="285"/>
        <v>0</v>
      </c>
      <c r="AF219" s="32">
        <f t="shared" si="285"/>
        <v>0</v>
      </c>
    </row>
    <row r="220" spans="4:32" ht="12.75">
      <c r="D220" s="9" t="s">
        <v>38</v>
      </c>
      <c r="F220" s="32">
        <f aca="true" t="shared" si="286" ref="F220:U220">IF(ISERROR(F180*F137),0,F180*F137)</f>
        <v>0</v>
      </c>
      <c r="G220" s="32">
        <f t="shared" si="286"/>
        <v>0</v>
      </c>
      <c r="H220" s="32">
        <f t="shared" si="286"/>
        <v>0.078</v>
      </c>
      <c r="I220" s="32">
        <f t="shared" si="286"/>
        <v>0.078</v>
      </c>
      <c r="J220" s="32">
        <f t="shared" si="286"/>
        <v>0.078</v>
      </c>
      <c r="K220" s="32">
        <f t="shared" si="286"/>
        <v>0.078</v>
      </c>
      <c r="L220" s="32">
        <f t="shared" si="286"/>
        <v>0</v>
      </c>
      <c r="M220" s="32">
        <f t="shared" si="286"/>
        <v>0</v>
      </c>
      <c r="N220" s="32">
        <f t="shared" si="286"/>
        <v>0.078</v>
      </c>
      <c r="O220" s="32">
        <f t="shared" si="286"/>
        <v>2.106</v>
      </c>
      <c r="P220" s="32">
        <f t="shared" si="286"/>
        <v>0</v>
      </c>
      <c r="Q220" s="32">
        <f t="shared" si="286"/>
        <v>0</v>
      </c>
      <c r="R220" s="45">
        <f t="shared" si="286"/>
        <v>2.106</v>
      </c>
      <c r="S220" s="32">
        <f t="shared" si="286"/>
        <v>0</v>
      </c>
      <c r="T220" s="32">
        <f t="shared" si="286"/>
        <v>0</v>
      </c>
      <c r="U220" s="32">
        <f t="shared" si="286"/>
        <v>0</v>
      </c>
      <c r="V220" s="32">
        <f aca="true" t="shared" si="287" ref="V220:AF220">IF(ISERROR(V180*V137),0,V180*V137)</f>
        <v>0</v>
      </c>
      <c r="W220" s="32">
        <f t="shared" si="287"/>
        <v>0</v>
      </c>
      <c r="X220" s="32">
        <f t="shared" si="287"/>
        <v>0</v>
      </c>
      <c r="Y220" s="32">
        <f t="shared" si="287"/>
        <v>0</v>
      </c>
      <c r="Z220" s="32">
        <f t="shared" si="287"/>
        <v>0</v>
      </c>
      <c r="AA220" s="32">
        <f t="shared" si="287"/>
        <v>0</v>
      </c>
      <c r="AB220" s="32">
        <f t="shared" si="287"/>
        <v>0</v>
      </c>
      <c r="AC220" s="32">
        <f t="shared" si="287"/>
        <v>0</v>
      </c>
      <c r="AD220" s="32">
        <f t="shared" si="287"/>
        <v>0</v>
      </c>
      <c r="AE220" s="32">
        <f t="shared" si="287"/>
        <v>0</v>
      </c>
      <c r="AF220" s="32">
        <f t="shared" si="287"/>
        <v>0</v>
      </c>
    </row>
    <row r="221" spans="4:32" ht="12.75">
      <c r="D221" s="9" t="s">
        <v>39</v>
      </c>
      <c r="F221" s="32">
        <f aca="true" t="shared" si="288" ref="F221:U221">IF(ISERROR(F181*F138),0,F181*F138)</f>
        <v>0</v>
      </c>
      <c r="G221" s="32">
        <f t="shared" si="288"/>
        <v>0</v>
      </c>
      <c r="H221" s="32">
        <f t="shared" si="288"/>
        <v>2.106</v>
      </c>
      <c r="I221" s="32">
        <f t="shared" si="288"/>
        <v>0.078</v>
      </c>
      <c r="J221" s="32">
        <f t="shared" si="288"/>
        <v>0.078</v>
      </c>
      <c r="K221" s="32">
        <f t="shared" si="288"/>
        <v>0.078</v>
      </c>
      <c r="L221" s="32">
        <f t="shared" si="288"/>
        <v>0</v>
      </c>
      <c r="M221" s="32">
        <f t="shared" si="288"/>
        <v>0</v>
      </c>
      <c r="N221" s="32">
        <f t="shared" si="288"/>
        <v>0.078</v>
      </c>
      <c r="O221" s="32">
        <f t="shared" si="288"/>
        <v>0.078</v>
      </c>
      <c r="P221" s="32">
        <f t="shared" si="288"/>
        <v>0</v>
      </c>
      <c r="Q221" s="32">
        <f t="shared" si="288"/>
        <v>0</v>
      </c>
      <c r="R221" s="45">
        <f t="shared" si="288"/>
        <v>2.106</v>
      </c>
      <c r="S221" s="32">
        <f t="shared" si="288"/>
        <v>0</v>
      </c>
      <c r="T221" s="32">
        <f t="shared" si="288"/>
        <v>0</v>
      </c>
      <c r="U221" s="32">
        <f t="shared" si="288"/>
        <v>0</v>
      </c>
      <c r="V221" s="32">
        <f aca="true" t="shared" si="289" ref="V221:AF221">IF(ISERROR(V181*V138),0,V181*V138)</f>
        <v>0</v>
      </c>
      <c r="W221" s="32">
        <f t="shared" si="289"/>
        <v>0</v>
      </c>
      <c r="X221" s="32">
        <f t="shared" si="289"/>
        <v>0</v>
      </c>
      <c r="Y221" s="32">
        <f t="shared" si="289"/>
        <v>0</v>
      </c>
      <c r="Z221" s="32">
        <f t="shared" si="289"/>
        <v>0</v>
      </c>
      <c r="AA221" s="32">
        <f t="shared" si="289"/>
        <v>0</v>
      </c>
      <c r="AB221" s="32">
        <f t="shared" si="289"/>
        <v>0</v>
      </c>
      <c r="AC221" s="32">
        <f t="shared" si="289"/>
        <v>0</v>
      </c>
      <c r="AD221" s="32">
        <f t="shared" si="289"/>
        <v>0</v>
      </c>
      <c r="AE221" s="32">
        <f t="shared" si="289"/>
        <v>0</v>
      </c>
      <c r="AF221" s="32">
        <f t="shared" si="289"/>
        <v>0</v>
      </c>
    </row>
    <row r="222" spans="4:32" ht="12.75">
      <c r="D222" s="9" t="s">
        <v>40</v>
      </c>
      <c r="F222" s="32">
        <f aca="true" t="shared" si="290" ref="F222:U222">IF(ISERROR(F182*F139),0,F182*F139)</f>
        <v>0</v>
      </c>
      <c r="G222" s="32">
        <f t="shared" si="290"/>
        <v>0</v>
      </c>
      <c r="H222" s="32">
        <f t="shared" si="290"/>
        <v>0</v>
      </c>
      <c r="I222" s="32">
        <f t="shared" si="290"/>
        <v>0</v>
      </c>
      <c r="J222" s="32">
        <f t="shared" si="290"/>
        <v>0</v>
      </c>
      <c r="K222" s="32">
        <f t="shared" si="290"/>
        <v>0</v>
      </c>
      <c r="L222" s="32">
        <f t="shared" si="290"/>
        <v>0</v>
      </c>
      <c r="M222" s="32">
        <f t="shared" si="290"/>
        <v>0</v>
      </c>
      <c r="N222" s="32">
        <f t="shared" si="290"/>
        <v>0</v>
      </c>
      <c r="O222" s="32">
        <f t="shared" si="290"/>
        <v>0</v>
      </c>
      <c r="P222" s="32">
        <f t="shared" si="290"/>
        <v>0</v>
      </c>
      <c r="Q222" s="32">
        <f t="shared" si="290"/>
        <v>0</v>
      </c>
      <c r="R222" s="45">
        <f t="shared" si="290"/>
        <v>0</v>
      </c>
      <c r="S222" s="32">
        <f t="shared" si="290"/>
        <v>0</v>
      </c>
      <c r="T222" s="32">
        <f t="shared" si="290"/>
        <v>0</v>
      </c>
      <c r="U222" s="32">
        <f t="shared" si="290"/>
        <v>0</v>
      </c>
      <c r="V222" s="32">
        <f aca="true" t="shared" si="291" ref="V222:AF222">IF(ISERROR(V182*V139),0,V182*V139)</f>
        <v>0</v>
      </c>
      <c r="W222" s="32">
        <f t="shared" si="291"/>
        <v>0</v>
      </c>
      <c r="X222" s="32">
        <f t="shared" si="291"/>
        <v>0</v>
      </c>
      <c r="Y222" s="32">
        <f t="shared" si="291"/>
        <v>0</v>
      </c>
      <c r="Z222" s="32">
        <f t="shared" si="291"/>
        <v>0</v>
      </c>
      <c r="AA222" s="32">
        <f t="shared" si="291"/>
        <v>0</v>
      </c>
      <c r="AB222" s="32">
        <f t="shared" si="291"/>
        <v>0</v>
      </c>
      <c r="AC222" s="32">
        <f t="shared" si="291"/>
        <v>0</v>
      </c>
      <c r="AD222" s="32">
        <f t="shared" si="291"/>
        <v>0</v>
      </c>
      <c r="AE222" s="32">
        <f t="shared" si="291"/>
        <v>0</v>
      </c>
      <c r="AF222" s="32">
        <f t="shared" si="291"/>
        <v>0</v>
      </c>
    </row>
    <row r="223" spans="4:32" ht="12.75">
      <c r="D223" s="9" t="s">
        <v>41</v>
      </c>
      <c r="F223" s="32">
        <f aca="true" t="shared" si="292" ref="F223:U223">IF(ISERROR(F183*F140),0,F183*F140)</f>
        <v>0</v>
      </c>
      <c r="G223" s="32">
        <f t="shared" si="292"/>
        <v>0</v>
      </c>
      <c r="H223" s="32">
        <f t="shared" si="292"/>
        <v>2.106</v>
      </c>
      <c r="I223" s="32">
        <f t="shared" si="292"/>
        <v>2.106</v>
      </c>
      <c r="J223" s="32">
        <f t="shared" si="292"/>
        <v>2.106</v>
      </c>
      <c r="K223" s="32">
        <f t="shared" si="292"/>
        <v>2.106</v>
      </c>
      <c r="L223" s="32">
        <f t="shared" si="292"/>
        <v>0</v>
      </c>
      <c r="M223" s="32">
        <f t="shared" si="292"/>
        <v>0</v>
      </c>
      <c r="N223" s="32">
        <f t="shared" si="292"/>
        <v>0.078</v>
      </c>
      <c r="O223" s="32">
        <f t="shared" si="292"/>
        <v>2.106</v>
      </c>
      <c r="P223" s="32">
        <f t="shared" si="292"/>
        <v>0</v>
      </c>
      <c r="Q223" s="32">
        <f t="shared" si="292"/>
        <v>0</v>
      </c>
      <c r="R223" s="45">
        <f t="shared" si="292"/>
        <v>2.106</v>
      </c>
      <c r="S223" s="32">
        <f t="shared" si="292"/>
        <v>0</v>
      </c>
      <c r="T223" s="32">
        <f t="shared" si="292"/>
        <v>0</v>
      </c>
      <c r="U223" s="32">
        <f t="shared" si="292"/>
        <v>0</v>
      </c>
      <c r="V223" s="32">
        <f aca="true" t="shared" si="293" ref="V223:AF223">IF(ISERROR(V183*V140),0,V183*V140)</f>
        <v>0</v>
      </c>
      <c r="W223" s="32">
        <f t="shared" si="293"/>
        <v>0</v>
      </c>
      <c r="X223" s="32">
        <f t="shared" si="293"/>
        <v>0</v>
      </c>
      <c r="Y223" s="32">
        <f t="shared" si="293"/>
        <v>0</v>
      </c>
      <c r="Z223" s="32">
        <f t="shared" si="293"/>
        <v>0</v>
      </c>
      <c r="AA223" s="32">
        <f t="shared" si="293"/>
        <v>0</v>
      </c>
      <c r="AB223" s="32">
        <f t="shared" si="293"/>
        <v>0</v>
      </c>
      <c r="AC223" s="32">
        <f t="shared" si="293"/>
        <v>0</v>
      </c>
      <c r="AD223" s="32">
        <f t="shared" si="293"/>
        <v>0</v>
      </c>
      <c r="AE223" s="32">
        <f t="shared" si="293"/>
        <v>0</v>
      </c>
      <c r="AF223" s="32">
        <f t="shared" si="293"/>
        <v>0</v>
      </c>
    </row>
    <row r="224" spans="4:32" ht="12.75">
      <c r="D224" s="10" t="s">
        <v>42</v>
      </c>
      <c r="F224" s="32">
        <f aca="true" t="shared" si="294" ref="F224:U224">IF(ISERROR(F184*F141),0,F184*F141)</f>
        <v>0</v>
      </c>
      <c r="G224" s="32">
        <f t="shared" si="294"/>
        <v>0</v>
      </c>
      <c r="H224" s="32">
        <f t="shared" si="294"/>
        <v>21.060000000000002</v>
      </c>
      <c r="I224" s="32">
        <f t="shared" si="294"/>
        <v>21.060000000000002</v>
      </c>
      <c r="J224" s="32">
        <f t="shared" si="294"/>
        <v>0.78</v>
      </c>
      <c r="K224" s="32">
        <f t="shared" si="294"/>
        <v>21.060000000000002</v>
      </c>
      <c r="L224" s="32">
        <f t="shared" si="294"/>
        <v>0</v>
      </c>
      <c r="M224" s="32">
        <f t="shared" si="294"/>
        <v>0</v>
      </c>
      <c r="N224" s="32">
        <f t="shared" si="294"/>
        <v>0.78</v>
      </c>
      <c r="O224" s="32">
        <f t="shared" si="294"/>
        <v>21.060000000000002</v>
      </c>
      <c r="P224" s="32">
        <f t="shared" si="294"/>
        <v>0</v>
      </c>
      <c r="Q224" s="32">
        <f t="shared" si="294"/>
        <v>0</v>
      </c>
      <c r="R224" s="45">
        <f t="shared" si="294"/>
        <v>21.060000000000002</v>
      </c>
      <c r="S224" s="32">
        <f t="shared" si="294"/>
        <v>0</v>
      </c>
      <c r="T224" s="32">
        <f t="shared" si="294"/>
        <v>0</v>
      </c>
      <c r="U224" s="32">
        <f t="shared" si="294"/>
        <v>0</v>
      </c>
      <c r="V224" s="32">
        <f aca="true" t="shared" si="295" ref="V224:AF224">IF(ISERROR(V184*V141),0,V184*V141)</f>
        <v>0</v>
      </c>
      <c r="W224" s="32">
        <f t="shared" si="295"/>
        <v>0</v>
      </c>
      <c r="X224" s="32">
        <f t="shared" si="295"/>
        <v>0</v>
      </c>
      <c r="Y224" s="32">
        <f t="shared" si="295"/>
        <v>0</v>
      </c>
      <c r="Z224" s="32">
        <f t="shared" si="295"/>
        <v>0</v>
      </c>
      <c r="AA224" s="32">
        <f t="shared" si="295"/>
        <v>0</v>
      </c>
      <c r="AB224" s="32">
        <f t="shared" si="295"/>
        <v>0</v>
      </c>
      <c r="AC224" s="32">
        <f t="shared" si="295"/>
        <v>0</v>
      </c>
      <c r="AD224" s="32">
        <f t="shared" si="295"/>
        <v>0</v>
      </c>
      <c r="AE224" s="32">
        <f t="shared" si="295"/>
        <v>0</v>
      </c>
      <c r="AF224" s="32">
        <f t="shared" si="295"/>
        <v>0</v>
      </c>
    </row>
    <row r="225" spans="4:32" ht="12.75">
      <c r="D225" s="11" t="s">
        <v>43</v>
      </c>
      <c r="F225" s="32">
        <f aca="true" t="shared" si="296" ref="F225:U225">IF(ISERROR(F185*F142),0,F185*F142)</f>
        <v>0</v>
      </c>
      <c r="G225" s="32">
        <f t="shared" si="296"/>
        <v>0</v>
      </c>
      <c r="H225" s="32">
        <f t="shared" si="296"/>
        <v>1.014</v>
      </c>
      <c r="I225" s="32">
        <f t="shared" si="296"/>
        <v>1.014</v>
      </c>
      <c r="J225" s="32">
        <f t="shared" si="296"/>
        <v>1.014</v>
      </c>
      <c r="K225" s="32">
        <f t="shared" si="296"/>
        <v>1.014</v>
      </c>
      <c r="L225" s="32">
        <f t="shared" si="296"/>
        <v>0</v>
      </c>
      <c r="M225" s="32">
        <f t="shared" si="296"/>
        <v>0</v>
      </c>
      <c r="N225" s="32">
        <f t="shared" si="296"/>
        <v>1.014</v>
      </c>
      <c r="O225" s="32">
        <f t="shared" si="296"/>
        <v>27.378</v>
      </c>
      <c r="P225" s="32">
        <f t="shared" si="296"/>
        <v>0</v>
      </c>
      <c r="Q225" s="32">
        <f t="shared" si="296"/>
        <v>0</v>
      </c>
      <c r="R225" s="45">
        <f t="shared" si="296"/>
        <v>27.378</v>
      </c>
      <c r="S225" s="32">
        <f t="shared" si="296"/>
        <v>0</v>
      </c>
      <c r="T225" s="32">
        <f t="shared" si="296"/>
        <v>0</v>
      </c>
      <c r="U225" s="32">
        <f t="shared" si="296"/>
        <v>0</v>
      </c>
      <c r="V225" s="32">
        <f aca="true" t="shared" si="297" ref="V225:AF225">IF(ISERROR(V185*V142),0,V185*V142)</f>
        <v>0</v>
      </c>
      <c r="W225" s="32">
        <f t="shared" si="297"/>
        <v>0</v>
      </c>
      <c r="X225" s="32">
        <f t="shared" si="297"/>
        <v>0</v>
      </c>
      <c r="Y225" s="32">
        <f t="shared" si="297"/>
        <v>0</v>
      </c>
      <c r="Z225" s="32">
        <f t="shared" si="297"/>
        <v>0</v>
      </c>
      <c r="AA225" s="32">
        <f t="shared" si="297"/>
        <v>0</v>
      </c>
      <c r="AB225" s="32">
        <f t="shared" si="297"/>
        <v>0</v>
      </c>
      <c r="AC225" s="32">
        <f t="shared" si="297"/>
        <v>0</v>
      </c>
      <c r="AD225" s="32">
        <f t="shared" si="297"/>
        <v>0</v>
      </c>
      <c r="AE225" s="32">
        <f t="shared" si="297"/>
        <v>0</v>
      </c>
      <c r="AF225" s="32">
        <f t="shared" si="297"/>
        <v>0</v>
      </c>
    </row>
    <row r="226" spans="4:32" ht="12.75">
      <c r="D226" s="9" t="s">
        <v>44</v>
      </c>
      <c r="F226" s="32">
        <f aca="true" t="shared" si="298" ref="F226:U226">IF(ISERROR(F186*F143),0,F186*F143)</f>
        <v>0</v>
      </c>
      <c r="G226" s="32">
        <f t="shared" si="298"/>
        <v>0</v>
      </c>
      <c r="H226" s="32">
        <f t="shared" si="298"/>
        <v>0</v>
      </c>
      <c r="I226" s="32">
        <f t="shared" si="298"/>
        <v>0</v>
      </c>
      <c r="J226" s="32">
        <f t="shared" si="298"/>
        <v>0</v>
      </c>
      <c r="K226" s="32">
        <f t="shared" si="298"/>
        <v>0</v>
      </c>
      <c r="L226" s="32">
        <f t="shared" si="298"/>
        <v>0</v>
      </c>
      <c r="M226" s="32">
        <f t="shared" si="298"/>
        <v>0</v>
      </c>
      <c r="N226" s="32">
        <f t="shared" si="298"/>
        <v>0</v>
      </c>
      <c r="O226" s="32">
        <f t="shared" si="298"/>
        <v>0</v>
      </c>
      <c r="P226" s="32">
        <f t="shared" si="298"/>
        <v>0</v>
      </c>
      <c r="Q226" s="32">
        <f t="shared" si="298"/>
        <v>0</v>
      </c>
      <c r="R226" s="32">
        <f t="shared" si="298"/>
        <v>0</v>
      </c>
      <c r="S226" s="32">
        <f t="shared" si="298"/>
        <v>0</v>
      </c>
      <c r="T226" s="32">
        <f t="shared" si="298"/>
        <v>0</v>
      </c>
      <c r="U226" s="32">
        <f t="shared" si="298"/>
        <v>0</v>
      </c>
      <c r="V226" s="32">
        <f aca="true" t="shared" si="299" ref="V226:AF226">IF(ISERROR(V186*V143),0,V186*V143)</f>
        <v>0</v>
      </c>
      <c r="W226" s="32">
        <f t="shared" si="299"/>
        <v>0</v>
      </c>
      <c r="X226" s="32">
        <f t="shared" si="299"/>
        <v>0</v>
      </c>
      <c r="Y226" s="32">
        <f t="shared" si="299"/>
        <v>0</v>
      </c>
      <c r="Z226" s="32">
        <f t="shared" si="299"/>
        <v>0</v>
      </c>
      <c r="AA226" s="32">
        <f t="shared" si="299"/>
        <v>0</v>
      </c>
      <c r="AB226" s="32">
        <f t="shared" si="299"/>
        <v>0</v>
      </c>
      <c r="AC226" s="32">
        <f t="shared" si="299"/>
        <v>0</v>
      </c>
      <c r="AD226" s="32">
        <f t="shared" si="299"/>
        <v>0</v>
      </c>
      <c r="AE226" s="32">
        <f t="shared" si="299"/>
        <v>0</v>
      </c>
      <c r="AF226" s="32">
        <f t="shared" si="299"/>
        <v>0</v>
      </c>
    </row>
    <row r="227" ht="12.75">
      <c r="R227" s="24">
        <f>R213+R224+R225</f>
        <v>54.756</v>
      </c>
    </row>
    <row r="228" ht="12.75">
      <c r="R228" s="46">
        <f>16*0.038</f>
        <v>0.608</v>
      </c>
    </row>
  </sheetData>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AQ42"/>
  <sheetViews>
    <sheetView workbookViewId="0" topLeftCell="A1">
      <selection activeCell="B3" sqref="B3:L23"/>
    </sheetView>
  </sheetViews>
  <sheetFormatPr defaultColWidth="9.140625" defaultRowHeight="12.75"/>
  <cols>
    <col min="3" max="3" width="28.7109375" style="0" bestFit="1" customWidth="1"/>
    <col min="14" max="14" width="34.140625" style="0" customWidth="1"/>
    <col min="16" max="16" width="33.57421875" style="0" customWidth="1"/>
    <col min="17" max="17" width="14.421875" style="0" bestFit="1" customWidth="1"/>
  </cols>
  <sheetData>
    <row r="1" spans="2:15" ht="15.75">
      <c r="B1" s="107" t="s">
        <v>163</v>
      </c>
      <c r="O1" s="109" t="s">
        <v>125</v>
      </c>
    </row>
    <row r="2" spans="12:40" ht="13.5" thickBot="1">
      <c r="L2" s="60"/>
      <c r="N2" s="116" t="s">
        <v>84</v>
      </c>
      <c r="O2" s="110"/>
      <c r="P2" t="s">
        <v>84</v>
      </c>
      <c r="Q2" t="s">
        <v>68</v>
      </c>
      <c r="R2" t="s">
        <v>68</v>
      </c>
      <c r="S2" t="s">
        <v>68</v>
      </c>
      <c r="T2" t="s">
        <v>68</v>
      </c>
      <c r="U2" t="s">
        <v>68</v>
      </c>
      <c r="V2" t="s">
        <v>68</v>
      </c>
      <c r="W2" t="s">
        <v>68</v>
      </c>
      <c r="X2" t="s">
        <v>68</v>
      </c>
      <c r="Y2" t="s">
        <v>68</v>
      </c>
      <c r="Z2" t="s">
        <v>68</v>
      </c>
      <c r="AA2" t="s">
        <v>68</v>
      </c>
      <c r="AB2" t="s">
        <v>68</v>
      </c>
      <c r="AC2" t="s">
        <v>68</v>
      </c>
      <c r="AD2" t="s">
        <v>68</v>
      </c>
      <c r="AE2" t="s">
        <v>68</v>
      </c>
      <c r="AF2" t="s">
        <v>68</v>
      </c>
      <c r="AG2" t="s">
        <v>68</v>
      </c>
      <c r="AH2" t="s">
        <v>68</v>
      </c>
      <c r="AI2" t="s">
        <v>68</v>
      </c>
      <c r="AJ2" t="s">
        <v>68</v>
      </c>
      <c r="AK2" t="s">
        <v>68</v>
      </c>
      <c r="AL2" t="s">
        <v>68</v>
      </c>
      <c r="AM2" t="s">
        <v>68</v>
      </c>
      <c r="AN2" t="s">
        <v>68</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36832.51388888889</v>
      </c>
      <c r="R3" s="64">
        <v>36921.489583333336</v>
      </c>
      <c r="S3" s="64">
        <v>37012.45138888889</v>
      </c>
      <c r="T3" s="64">
        <v>37109.5</v>
      </c>
      <c r="U3" s="64">
        <v>37223.45486111111</v>
      </c>
      <c r="V3" s="64">
        <v>37384.479166666664</v>
      </c>
      <c r="W3" s="64">
        <v>37475.444444444445</v>
      </c>
      <c r="X3" s="64">
        <v>37587.518055555556</v>
      </c>
      <c r="Y3" s="64">
        <v>37649.475694444445</v>
      </c>
      <c r="Z3" s="64">
        <v>37747.447916666664</v>
      </c>
      <c r="AA3" s="64">
        <v>37838.458333333336</v>
      </c>
      <c r="AB3" s="64">
        <v>37951.48611111111</v>
      </c>
      <c r="AC3" s="64">
        <v>38028.461805555555</v>
      </c>
      <c r="AD3" s="64">
        <v>38112.43402777778</v>
      </c>
      <c r="AE3" s="64">
        <v>38203.42638888889</v>
      </c>
      <c r="AF3" s="64">
        <v>38319.45486111111</v>
      </c>
      <c r="AG3" s="64">
        <v>38336.45138888889</v>
      </c>
      <c r="AH3" s="64">
        <v>38393.760416666664</v>
      </c>
      <c r="AI3" s="64">
        <v>38478.458333333336</v>
      </c>
      <c r="AJ3" s="64">
        <v>38594.46041666667</v>
      </c>
      <c r="AK3" s="64">
        <v>38681.458333333336</v>
      </c>
      <c r="AL3" s="64">
        <v>38777.4375</v>
      </c>
      <c r="AM3" s="64">
        <v>38870.4375</v>
      </c>
      <c r="AN3" s="64">
        <v>38961.43541666667</v>
      </c>
      <c r="AO3" s="64"/>
      <c r="AP3" s="64"/>
      <c r="AQ3" s="64"/>
    </row>
    <row r="4" spans="2:40" ht="12.75">
      <c r="B4" s="68" t="s">
        <v>103</v>
      </c>
      <c r="C4" s="93" t="s">
        <v>4</v>
      </c>
      <c r="D4" s="81">
        <f>COUNT(Q4:EC4)</f>
        <v>20</v>
      </c>
      <c r="E4" s="82">
        <f>AVERAGE(Q4:EC4)</f>
        <v>0.047200000000000006</v>
      </c>
      <c r="F4" s="82">
        <f aca="true" t="shared" si="0" ref="F4:F15">CONFIDENCE(0.05,G4,D4)</f>
        <v>0.012598612416858345</v>
      </c>
      <c r="G4" s="82">
        <f>STDEV(Q4:EC4)</f>
        <v>0.028746807603078652</v>
      </c>
      <c r="H4" s="82">
        <f>QUARTILE(Q4:EC4,2)</f>
        <v>0.046</v>
      </c>
      <c r="I4" s="82">
        <f>MIN(Q4:EC4)</f>
        <v>0.01</v>
      </c>
      <c r="J4" s="82">
        <f>MAX(Q4:EC4)</f>
        <v>0.11</v>
      </c>
      <c r="K4" s="82">
        <f>PERCENTILE(Q4:EC4,0.95)</f>
        <v>0.1005</v>
      </c>
      <c r="L4" s="102" t="str">
        <f>IF((H4+H5)&lt;0.08,"A",IF((H4+H5)&lt;0.12,"B",IF((H4+H5)&lt;0.295,"C",IF((H4+H5)&lt;0.444,"D","E"))))</f>
        <v>A</v>
      </c>
      <c r="N4" s="116" t="s">
        <v>86</v>
      </c>
      <c r="O4" s="108"/>
      <c r="P4" t="s">
        <v>86</v>
      </c>
      <c r="R4">
        <v>0.02</v>
      </c>
      <c r="S4">
        <v>0.1</v>
      </c>
      <c r="V4">
        <v>0.032</v>
      </c>
      <c r="W4">
        <v>0.11</v>
      </c>
      <c r="X4">
        <v>0.077</v>
      </c>
      <c r="Y4">
        <v>0.035</v>
      </c>
      <c r="Z4">
        <v>0.057</v>
      </c>
      <c r="AA4">
        <v>0.052</v>
      </c>
      <c r="AB4">
        <v>0.013</v>
      </c>
      <c r="AC4">
        <v>0.01</v>
      </c>
      <c r="AD4">
        <v>0.047</v>
      </c>
      <c r="AE4">
        <v>0.073</v>
      </c>
      <c r="AG4">
        <v>0.017</v>
      </c>
      <c r="AH4">
        <v>0.022</v>
      </c>
      <c r="AI4">
        <v>0.073</v>
      </c>
      <c r="AJ4">
        <v>0.05</v>
      </c>
      <c r="AK4">
        <v>0.011</v>
      </c>
      <c r="AL4">
        <v>0.045</v>
      </c>
      <c r="AM4">
        <v>0.056</v>
      </c>
      <c r="AN4">
        <v>0.044</v>
      </c>
    </row>
    <row r="5" spans="2:40" ht="12.75">
      <c r="B5" s="69"/>
      <c r="C5" s="5" t="s">
        <v>5</v>
      </c>
      <c r="D5" s="73">
        <f>COUNT(Q5:EC5)</f>
        <v>18</v>
      </c>
      <c r="E5" s="112">
        <f>AVERAGE(Q5:EC5)</f>
        <v>0.00727777777777778</v>
      </c>
      <c r="F5" s="112">
        <f t="shared" si="0"/>
        <v>0.0030347318871016423</v>
      </c>
      <c r="G5" s="112">
        <f>STDEV(Q5:EC5)</f>
        <v>0.006569139576172959</v>
      </c>
      <c r="H5" s="112">
        <f>QUARTILE(Q5:EC5,2)</f>
        <v>0.005</v>
      </c>
      <c r="I5" s="112">
        <f>MIN(Q5:EC5)</f>
        <v>0.005</v>
      </c>
      <c r="J5" s="112">
        <f>MAX(Q5:EC5)</f>
        <v>0.032</v>
      </c>
      <c r="K5" s="112">
        <f>PERCENTILE(Q5:EC5,0.95)</f>
        <v>0.016699999999999975</v>
      </c>
      <c r="L5" s="102"/>
      <c r="N5" s="116" t="s">
        <v>87</v>
      </c>
      <c r="O5" s="108"/>
      <c r="P5" t="s">
        <v>87</v>
      </c>
      <c r="V5">
        <v>0.005</v>
      </c>
      <c r="W5">
        <v>0.009</v>
      </c>
      <c r="X5">
        <v>0.032</v>
      </c>
      <c r="Y5">
        <v>0.005</v>
      </c>
      <c r="Z5">
        <v>0.006</v>
      </c>
      <c r="AA5">
        <v>0.005</v>
      </c>
      <c r="AB5">
        <v>0.005</v>
      </c>
      <c r="AC5">
        <v>0.014</v>
      </c>
      <c r="AD5">
        <v>0.005</v>
      </c>
      <c r="AE5">
        <v>0.005</v>
      </c>
      <c r="AG5">
        <v>0.005</v>
      </c>
      <c r="AH5">
        <v>0.005</v>
      </c>
      <c r="AI5">
        <v>0.005</v>
      </c>
      <c r="AJ5">
        <v>0.005</v>
      </c>
      <c r="AK5">
        <v>0.005</v>
      </c>
      <c r="AL5">
        <v>0.005</v>
      </c>
      <c r="AM5">
        <v>0.005</v>
      </c>
      <c r="AN5">
        <v>0.005</v>
      </c>
    </row>
    <row r="6" spans="2:40" ht="12.75">
      <c r="B6" s="70"/>
      <c r="C6" s="94" t="s">
        <v>6</v>
      </c>
      <c r="D6" s="73">
        <f>COUNT(Q6:EC6)</f>
        <v>23</v>
      </c>
      <c r="E6" s="112">
        <f>AVERAGE(Q6:EC6)</f>
        <v>0.0063043478260869585</v>
      </c>
      <c r="F6" s="112">
        <f t="shared" si="0"/>
        <v>0.0010414602392159519</v>
      </c>
      <c r="G6" s="112">
        <f>STDEV(Q6:EC6)</f>
        <v>0.002548346747647391</v>
      </c>
      <c r="H6" s="112">
        <f>QUARTILE(Q6:EC6,2)</f>
        <v>0.005</v>
      </c>
      <c r="I6" s="112">
        <f>MIN(Q6:EC6)</f>
        <v>0.005</v>
      </c>
      <c r="J6" s="112">
        <f>MAX(Q6:EC6)</f>
        <v>0.017</v>
      </c>
      <c r="K6" s="112">
        <f>PERCENTILE(Q6:EC6,0.95)</f>
        <v>0.008</v>
      </c>
      <c r="L6" s="102" t="str">
        <f>IF((H6)&lt;0.005,"A",IF((H6)&lt;0.008,"B",IF((H6)&lt;0.026,"C",IF((H6)&lt;0.05,"D","E"))))</f>
        <v>B</v>
      </c>
      <c r="N6" s="116" t="s">
        <v>88</v>
      </c>
      <c r="O6" s="108"/>
      <c r="P6" t="s">
        <v>88</v>
      </c>
      <c r="Q6">
        <v>0.006</v>
      </c>
      <c r="R6">
        <v>0.005</v>
      </c>
      <c r="S6">
        <v>0.017</v>
      </c>
      <c r="T6">
        <v>0.007</v>
      </c>
      <c r="U6">
        <v>0.005</v>
      </c>
      <c r="V6">
        <v>0.005</v>
      </c>
      <c r="W6">
        <v>0.005</v>
      </c>
      <c r="X6">
        <v>0.006</v>
      </c>
      <c r="Y6">
        <v>0.006</v>
      </c>
      <c r="Z6">
        <v>0.007</v>
      </c>
      <c r="AA6">
        <v>0.008</v>
      </c>
      <c r="AB6">
        <v>0.005</v>
      </c>
      <c r="AC6">
        <v>0.005</v>
      </c>
      <c r="AD6">
        <v>0.005</v>
      </c>
      <c r="AE6">
        <v>0.007</v>
      </c>
      <c r="AG6">
        <v>0.005</v>
      </c>
      <c r="AH6">
        <v>0.008</v>
      </c>
      <c r="AI6">
        <v>0.005</v>
      </c>
      <c r="AJ6">
        <v>0.005</v>
      </c>
      <c r="AK6">
        <v>0.006</v>
      </c>
      <c r="AL6">
        <v>0.007</v>
      </c>
      <c r="AM6">
        <v>0.005</v>
      </c>
      <c r="AN6">
        <v>0.005</v>
      </c>
    </row>
    <row r="7" spans="2:40" ht="12.75">
      <c r="B7" s="71" t="s">
        <v>104</v>
      </c>
      <c r="C7" s="6" t="s">
        <v>7</v>
      </c>
      <c r="D7" s="86">
        <f>COUNT(Q7:EC7)</f>
        <v>23</v>
      </c>
      <c r="E7" s="113">
        <f>AVERAGE(Q7:EC7)</f>
        <v>8.046521739130434</v>
      </c>
      <c r="F7" s="113">
        <f t="shared" si="0"/>
        <v>0.14758158941721689</v>
      </c>
      <c r="G7" s="113">
        <f>STDEV(Q7:EC7)</f>
        <v>0.3611170635636847</v>
      </c>
      <c r="H7" s="113">
        <f>QUARTILE(Q7:EC7,2)</f>
        <v>8.11</v>
      </c>
      <c r="I7" s="113">
        <f>MIN(Q7:EC7)</f>
        <v>7.36</v>
      </c>
      <c r="J7" s="113">
        <f>MAX(Q7:EC7)</f>
        <v>8.64</v>
      </c>
      <c r="K7" s="113">
        <f>PERCENTILE(Q7:EC7,0.95)</f>
        <v>8.519</v>
      </c>
      <c r="L7" s="103" t="str">
        <f>IF(AND(7.2&lt;H7,H7&lt;9),"A",IF(AND(7.2&lt;=H7,H7&lt;=9),"B",IF(AND(6.5&lt;=H7,H7&lt;=9),"C",IF(AND(6.5&lt;=H7,H7&lt;=10),"D","E"))))</f>
        <v>A</v>
      </c>
      <c r="N7" s="116" t="s">
        <v>89</v>
      </c>
      <c r="O7" s="108"/>
      <c r="P7" t="s">
        <v>89</v>
      </c>
      <c r="Q7">
        <v>8.41</v>
      </c>
      <c r="R7">
        <v>8.29</v>
      </c>
      <c r="S7">
        <v>8.64</v>
      </c>
      <c r="T7">
        <v>8.2</v>
      </c>
      <c r="U7">
        <v>7.46</v>
      </c>
      <c r="V7">
        <v>8.53</v>
      </c>
      <c r="W7">
        <v>8.42</v>
      </c>
      <c r="X7">
        <v>8.37</v>
      </c>
      <c r="Y7">
        <v>8.3</v>
      </c>
      <c r="Z7">
        <v>8.11</v>
      </c>
      <c r="AA7">
        <v>8.02</v>
      </c>
      <c r="AB7">
        <v>8.07</v>
      </c>
      <c r="AC7">
        <v>7.51</v>
      </c>
      <c r="AD7">
        <v>7.36</v>
      </c>
      <c r="AE7">
        <v>7.86</v>
      </c>
      <c r="AG7">
        <v>8.05</v>
      </c>
      <c r="AH7">
        <v>8.03</v>
      </c>
      <c r="AI7">
        <v>7.73</v>
      </c>
      <c r="AJ7">
        <v>8.13</v>
      </c>
      <c r="AK7">
        <v>7.68</v>
      </c>
      <c r="AL7">
        <v>7.48</v>
      </c>
      <c r="AM7">
        <v>8.2</v>
      </c>
      <c r="AN7">
        <v>8.22</v>
      </c>
    </row>
    <row r="8" spans="2:40" ht="12.75">
      <c r="B8" s="71"/>
      <c r="C8" s="6" t="s">
        <v>8</v>
      </c>
      <c r="D8" s="81">
        <f>COUNT(Q8:EC8)</f>
        <v>23</v>
      </c>
      <c r="E8" s="44">
        <f>AVERAGE(Q8:EC8)</f>
        <v>10.892173913043477</v>
      </c>
      <c r="F8" s="44">
        <f t="shared" si="0"/>
        <v>1.228727880941041</v>
      </c>
      <c r="G8" s="44">
        <f>STDEV(Q8:EC8)</f>
        <v>3.00657152451357</v>
      </c>
      <c r="H8" s="44">
        <f>QUARTILE(Q8:EC8,2)</f>
        <v>11.4</v>
      </c>
      <c r="I8" s="44">
        <f>MIN(Q8:EC8)</f>
        <v>5.8</v>
      </c>
      <c r="J8" s="44">
        <f>MAX(Q8:EC8)</f>
        <v>18</v>
      </c>
      <c r="K8" s="44">
        <f>PERCENTILE(Q8:EC8,0.95)</f>
        <v>14.74</v>
      </c>
      <c r="L8" s="102" t="str">
        <f>IF(H8&lt;18,"A",IF(H8&lt;20,"B",IF(H8&lt;22,"C",IF(H8&lt;25,"D","E"))))</f>
        <v>A</v>
      </c>
      <c r="N8" s="116" t="s">
        <v>90</v>
      </c>
      <c r="O8" s="108"/>
      <c r="P8" t="s">
        <v>90</v>
      </c>
      <c r="Q8">
        <v>12.7</v>
      </c>
      <c r="R8">
        <v>14.8</v>
      </c>
      <c r="S8">
        <v>12</v>
      </c>
      <c r="T8">
        <v>6.9</v>
      </c>
      <c r="U8">
        <v>11.4</v>
      </c>
      <c r="V8">
        <v>10.09</v>
      </c>
      <c r="W8">
        <v>8.3</v>
      </c>
      <c r="X8">
        <v>13.7</v>
      </c>
      <c r="Y8">
        <v>12.3</v>
      </c>
      <c r="Z8">
        <v>7.3</v>
      </c>
      <c r="AA8">
        <v>8.8</v>
      </c>
      <c r="AB8">
        <v>12.4</v>
      </c>
      <c r="AC8">
        <v>14.2</v>
      </c>
      <c r="AD8">
        <v>11</v>
      </c>
      <c r="AE8">
        <v>5.8</v>
      </c>
      <c r="AG8">
        <v>12.2</v>
      </c>
      <c r="AH8">
        <v>18</v>
      </c>
      <c r="AI8">
        <v>9.3</v>
      </c>
      <c r="AJ8">
        <v>8.76</v>
      </c>
      <c r="AK8">
        <v>11.42</v>
      </c>
      <c r="AL8">
        <v>13.81</v>
      </c>
      <c r="AM8">
        <v>7.24</v>
      </c>
      <c r="AN8">
        <v>8.1</v>
      </c>
    </row>
    <row r="9" spans="2:40" ht="12.75">
      <c r="B9" s="71"/>
      <c r="C9" s="7" t="s">
        <v>9</v>
      </c>
      <c r="D9" s="81">
        <f>COUNT(Q9:EC9)</f>
        <v>23</v>
      </c>
      <c r="E9" s="44">
        <f>AVERAGE(Q9:EC9)</f>
        <v>102.41739130434782</v>
      </c>
      <c r="F9" s="44">
        <f t="shared" si="0"/>
        <v>1.7640386914023902</v>
      </c>
      <c r="G9" s="44">
        <f>STDEV(Q9:EC9)</f>
        <v>4.316422358422174</v>
      </c>
      <c r="H9" s="44">
        <f>QUARTILE(Q9:EC9,2)</f>
        <v>101.1</v>
      </c>
      <c r="I9" s="44">
        <f>MIN(Q9:EC9)</f>
        <v>97.2</v>
      </c>
      <c r="J9" s="44">
        <f>MAX(Q9:EC9)</f>
        <v>112.6</v>
      </c>
      <c r="K9" s="44">
        <f>PERCENTILE(Q9:EC9,0.95)</f>
        <v>109.72999999999999</v>
      </c>
      <c r="L9" s="104" t="str">
        <f>IF(AND(99&lt;=H9,H9&lt;=103),"A",IF(AND(98&lt;=H9,H9&lt;=105),"B",IF(H9&gt;90,"C",IF(H9&gt;80,"D","E"))))</f>
        <v>A</v>
      </c>
      <c r="N9" s="116" t="s">
        <v>91</v>
      </c>
      <c r="O9" s="108"/>
      <c r="P9" t="s">
        <v>91</v>
      </c>
      <c r="Q9">
        <v>97.2</v>
      </c>
      <c r="R9">
        <v>101.2</v>
      </c>
      <c r="S9">
        <v>106.5</v>
      </c>
      <c r="T9">
        <v>97.3</v>
      </c>
      <c r="U9">
        <v>101.7</v>
      </c>
      <c r="V9">
        <v>106.1</v>
      </c>
      <c r="W9">
        <v>109.1</v>
      </c>
      <c r="X9">
        <v>107.5</v>
      </c>
      <c r="Y9">
        <v>109.8</v>
      </c>
      <c r="Z9">
        <v>100.2</v>
      </c>
      <c r="AA9">
        <v>102.1</v>
      </c>
      <c r="AB9">
        <v>100.6</v>
      </c>
      <c r="AC9">
        <v>97.9</v>
      </c>
      <c r="AD9">
        <v>99.7</v>
      </c>
      <c r="AE9">
        <v>97.7</v>
      </c>
      <c r="AG9">
        <v>105.5</v>
      </c>
      <c r="AH9">
        <v>99.7</v>
      </c>
      <c r="AI9">
        <v>99.6</v>
      </c>
      <c r="AJ9">
        <v>112.6</v>
      </c>
      <c r="AK9">
        <v>102.1</v>
      </c>
      <c r="AL9">
        <v>99.6</v>
      </c>
      <c r="AM9">
        <v>100.8</v>
      </c>
      <c r="AN9">
        <v>101.1</v>
      </c>
    </row>
    <row r="10" spans="2:40" ht="12.75">
      <c r="B10" s="71"/>
      <c r="C10" s="6" t="s">
        <v>10</v>
      </c>
      <c r="D10" s="81">
        <f>COUNT(Q10:EC10)</f>
        <v>23</v>
      </c>
      <c r="E10" s="44">
        <f>AVERAGE(Q10:EC10)</f>
        <v>11.350434782608696</v>
      </c>
      <c r="F10" s="44">
        <f t="shared" si="0"/>
        <v>0.373720968621976</v>
      </c>
      <c r="G10" s="44">
        <f>STDEV(Q10:EC10)</f>
        <v>0.9144570085867353</v>
      </c>
      <c r="H10" s="44">
        <f>QUARTILE(Q10:EC10,2)</f>
        <v>11.33</v>
      </c>
      <c r="I10" s="44">
        <f>MIN(Q10:EC10)</f>
        <v>9.43</v>
      </c>
      <c r="J10" s="44">
        <f>MAX(Q10:EC10)</f>
        <v>13.09</v>
      </c>
      <c r="K10" s="44">
        <f>PERCENTILE(Q10:EC10,0.95)</f>
        <v>12.751</v>
      </c>
      <c r="L10" s="102"/>
      <c r="N10" s="116" t="s">
        <v>92</v>
      </c>
      <c r="O10" s="108"/>
      <c r="P10" t="s">
        <v>92</v>
      </c>
      <c r="Q10">
        <v>10.24</v>
      </c>
      <c r="R10">
        <v>10.19</v>
      </c>
      <c r="S10">
        <v>11.33</v>
      </c>
      <c r="T10">
        <v>11.82</v>
      </c>
      <c r="U10">
        <v>11.08</v>
      </c>
      <c r="V10">
        <v>11.94</v>
      </c>
      <c r="W10">
        <v>12.81</v>
      </c>
      <c r="X10">
        <v>11.15</v>
      </c>
      <c r="Y10">
        <v>11.7</v>
      </c>
      <c r="Z10">
        <v>12.07</v>
      </c>
      <c r="AA10">
        <v>11.87</v>
      </c>
      <c r="AB10">
        <v>10.72</v>
      </c>
      <c r="AC10">
        <v>9.98</v>
      </c>
      <c r="AD10">
        <v>10.98</v>
      </c>
      <c r="AE10">
        <v>12.22</v>
      </c>
      <c r="AG10">
        <v>11.31</v>
      </c>
      <c r="AH10">
        <v>9.43</v>
      </c>
      <c r="AI10">
        <v>11.61</v>
      </c>
      <c r="AJ10">
        <v>13.09</v>
      </c>
      <c r="AK10">
        <v>11.13</v>
      </c>
      <c r="AL10">
        <v>10.3</v>
      </c>
      <c r="AM10">
        <v>12.16</v>
      </c>
      <c r="AN10">
        <v>11.93</v>
      </c>
    </row>
    <row r="11" spans="2:40" ht="12.75">
      <c r="B11" s="72"/>
      <c r="C11" s="95" t="s">
        <v>11</v>
      </c>
      <c r="D11" s="87">
        <f>COUNT(Q11:EC11)</f>
        <v>23</v>
      </c>
      <c r="E11" s="115">
        <f>AVERAGE(Q11:EC11)</f>
        <v>204.02608695652177</v>
      </c>
      <c r="F11" s="115">
        <f t="shared" si="0"/>
        <v>14.480685005696445</v>
      </c>
      <c r="G11" s="115">
        <f>STDEV(Q11:EC11)</f>
        <v>35.432755998206765</v>
      </c>
      <c r="H11" s="115">
        <f>QUARTILE(Q11:EC11,2)</f>
        <v>210</v>
      </c>
      <c r="I11" s="115">
        <f>MIN(Q11:EC11)</f>
        <v>111.5</v>
      </c>
      <c r="J11" s="115">
        <f>MAX(Q11:EC11)</f>
        <v>246.8</v>
      </c>
      <c r="K11" s="115">
        <f>PERCENTILE(Q11:EC11,0.95)</f>
        <v>240.23</v>
      </c>
      <c r="L11" s="105"/>
      <c r="N11" s="116" t="s">
        <v>93</v>
      </c>
      <c r="O11" s="108"/>
      <c r="P11" t="s">
        <v>93</v>
      </c>
      <c r="Q11">
        <v>205.2</v>
      </c>
      <c r="R11">
        <v>240.7</v>
      </c>
      <c r="S11">
        <v>246.8</v>
      </c>
      <c r="T11">
        <v>204.4</v>
      </c>
      <c r="U11">
        <v>111.5</v>
      </c>
      <c r="V11">
        <v>234</v>
      </c>
      <c r="W11">
        <v>208</v>
      </c>
      <c r="X11">
        <v>210</v>
      </c>
      <c r="Y11">
        <v>234</v>
      </c>
      <c r="Z11">
        <v>204</v>
      </c>
      <c r="AA11">
        <v>210</v>
      </c>
      <c r="AB11">
        <v>219</v>
      </c>
      <c r="AC11">
        <v>119</v>
      </c>
      <c r="AD11">
        <v>146</v>
      </c>
      <c r="AE11">
        <v>184</v>
      </c>
      <c r="AG11">
        <v>217</v>
      </c>
      <c r="AH11">
        <v>217</v>
      </c>
      <c r="AI11">
        <v>235</v>
      </c>
      <c r="AJ11">
        <v>191</v>
      </c>
      <c r="AK11">
        <v>220</v>
      </c>
      <c r="AL11">
        <v>236</v>
      </c>
      <c r="AM11">
        <v>199</v>
      </c>
      <c r="AN11">
        <v>201</v>
      </c>
    </row>
    <row r="12" spans="2:40" ht="12.75">
      <c r="B12" s="68" t="s">
        <v>105</v>
      </c>
      <c r="C12" s="4" t="s">
        <v>12</v>
      </c>
      <c r="D12" s="81">
        <f>COUNT(Q12:EC12)</f>
        <v>23</v>
      </c>
      <c r="E12" s="82">
        <f>AVERAGE(Q12:EC12)</f>
        <v>1.1956521739130435</v>
      </c>
      <c r="F12" s="82">
        <f t="shared" si="0"/>
        <v>0.5300329060629537</v>
      </c>
      <c r="G12" s="82">
        <f>STDEV(Q12:EC12)</f>
        <v>1.296936341351335</v>
      </c>
      <c r="H12" s="82">
        <f>QUARTILE(Q12:EC12,2)</f>
        <v>0.75</v>
      </c>
      <c r="I12" s="82">
        <f>MIN(Q12:EC12)</f>
        <v>0.29</v>
      </c>
      <c r="J12" s="82">
        <f>MAX(Q12:EC12)</f>
        <v>6.52</v>
      </c>
      <c r="K12" s="82">
        <f>PERCENTILE(Q12:EC12,0.95)</f>
        <v>2.7659999999999987</v>
      </c>
      <c r="L12" s="102" t="str">
        <f>IF(H12&lt;1,"A",IF(H12&lt;2,"B",IF(H12&lt;3,"C",IF(H12&lt;5,"D","E"))))</f>
        <v>A</v>
      </c>
      <c r="N12" s="116" t="s">
        <v>94</v>
      </c>
      <c r="O12" s="108"/>
      <c r="P12" t="s">
        <v>94</v>
      </c>
      <c r="Q12">
        <v>0.65</v>
      </c>
      <c r="R12">
        <v>0.75</v>
      </c>
      <c r="S12">
        <v>0.6</v>
      </c>
      <c r="T12">
        <v>0.44</v>
      </c>
      <c r="U12">
        <v>6.52</v>
      </c>
      <c r="V12">
        <v>0.75</v>
      </c>
      <c r="W12">
        <v>0.6</v>
      </c>
      <c r="X12">
        <v>0.86</v>
      </c>
      <c r="Y12">
        <v>0.99</v>
      </c>
      <c r="Z12">
        <v>0.58</v>
      </c>
      <c r="AA12">
        <v>0.66</v>
      </c>
      <c r="AB12">
        <v>0.74</v>
      </c>
      <c r="AC12">
        <v>2.1</v>
      </c>
      <c r="AD12">
        <v>2.84</v>
      </c>
      <c r="AE12">
        <v>0.73</v>
      </c>
      <c r="AG12">
        <v>0.29</v>
      </c>
      <c r="AH12">
        <v>1.16</v>
      </c>
      <c r="AI12">
        <v>0.57</v>
      </c>
      <c r="AJ12">
        <v>1.03</v>
      </c>
      <c r="AK12">
        <v>0.85</v>
      </c>
      <c r="AL12">
        <v>0.91</v>
      </c>
      <c r="AM12">
        <v>1.02</v>
      </c>
      <c r="AN12">
        <v>1.86</v>
      </c>
    </row>
    <row r="13" spans="2:40" ht="12.75">
      <c r="B13" s="71"/>
      <c r="C13" s="6" t="s">
        <v>13</v>
      </c>
      <c r="D13" s="81">
        <f>COUNT(Q13:EC13)</f>
        <v>23</v>
      </c>
      <c r="E13" s="44">
        <f>AVERAGE(Q13:EC13)</f>
        <v>3.5652173913043477</v>
      </c>
      <c r="F13" s="44">
        <f t="shared" si="0"/>
        <v>0.5779432864216948</v>
      </c>
      <c r="G13" s="44">
        <f>STDEV(Q13:EC13)</f>
        <v>1.4141681447062697</v>
      </c>
      <c r="H13" s="44">
        <f>QUARTILE(Q13:EC13,2)</f>
        <v>3.7</v>
      </c>
      <c r="I13" s="44">
        <f>MIN(Q13:EC13)</f>
        <v>0.85</v>
      </c>
      <c r="J13" s="44">
        <f>MAX(Q13:EC13)</f>
        <v>6.6</v>
      </c>
      <c r="K13" s="44">
        <f>PERCENTILE(Q13:EC13,0.95)</f>
        <v>5.69</v>
      </c>
      <c r="L13" s="102" t="str">
        <f>IF(H13&gt;6,"A",IF(H13&gt;4,"B",IF(H13&gt;2.5,"C",IF(H13&gt;0.6,"D","E"))))</f>
        <v>C</v>
      </c>
      <c r="N13" s="116" t="s">
        <v>13</v>
      </c>
      <c r="O13" s="108"/>
      <c r="P13" t="s">
        <v>13</v>
      </c>
      <c r="Q13">
        <v>4.7</v>
      </c>
      <c r="R13">
        <v>4.4</v>
      </c>
      <c r="S13">
        <v>5.7</v>
      </c>
      <c r="T13">
        <v>6.6</v>
      </c>
      <c r="U13">
        <v>0.85</v>
      </c>
      <c r="V13">
        <v>5.6</v>
      </c>
      <c r="W13">
        <v>4.3</v>
      </c>
      <c r="X13">
        <v>3.5</v>
      </c>
      <c r="Y13">
        <v>3.5</v>
      </c>
      <c r="Z13">
        <v>3.9</v>
      </c>
      <c r="AA13">
        <v>3.3</v>
      </c>
      <c r="AB13">
        <v>4.7</v>
      </c>
      <c r="AC13">
        <v>1.3</v>
      </c>
      <c r="AD13">
        <v>1.7</v>
      </c>
      <c r="AE13">
        <v>4.1</v>
      </c>
      <c r="AG13">
        <v>2.9</v>
      </c>
      <c r="AH13">
        <v>2.8</v>
      </c>
      <c r="AI13">
        <v>3.7</v>
      </c>
      <c r="AJ13">
        <v>3.7</v>
      </c>
      <c r="AK13">
        <v>3.8</v>
      </c>
      <c r="AL13">
        <v>2.2</v>
      </c>
      <c r="AM13">
        <v>2.4</v>
      </c>
      <c r="AN13">
        <v>2.35</v>
      </c>
    </row>
    <row r="14" spans="2:40" ht="12.75">
      <c r="B14" s="72"/>
      <c r="C14" s="95" t="s">
        <v>14</v>
      </c>
      <c r="D14" s="87">
        <f>COUNT(Q14:EC14)</f>
        <v>23</v>
      </c>
      <c r="E14" s="115">
        <f>AVERAGE(Q14:EC14)</f>
        <v>1.2608695652173914</v>
      </c>
      <c r="F14" s="115">
        <f t="shared" si="0"/>
        <v>0.562348147401509</v>
      </c>
      <c r="G14" s="115">
        <f>STDEV(Q14:EC14)</f>
        <v>1.3760084336537204</v>
      </c>
      <c r="H14" s="115">
        <f>QUARTILE(Q14:EC14,2)</f>
        <v>0.8</v>
      </c>
      <c r="I14" s="115">
        <f>MIN(Q14:EC14)</f>
        <v>0.3</v>
      </c>
      <c r="J14" s="115">
        <f>MAX(Q14:EC14)</f>
        <v>7</v>
      </c>
      <c r="K14" s="115">
        <f>PERCENTILE(Q14:EC14,0.95)</f>
        <v>2</v>
      </c>
      <c r="L14" s="102"/>
      <c r="N14" s="116" t="s">
        <v>95</v>
      </c>
      <c r="O14" s="108"/>
      <c r="P14" t="s">
        <v>95</v>
      </c>
      <c r="Q14">
        <v>2</v>
      </c>
      <c r="R14">
        <v>2</v>
      </c>
      <c r="S14">
        <v>1</v>
      </c>
      <c r="T14">
        <v>2</v>
      </c>
      <c r="U14">
        <v>7</v>
      </c>
      <c r="V14">
        <v>0.5</v>
      </c>
      <c r="W14">
        <v>0.3</v>
      </c>
      <c r="X14">
        <v>1</v>
      </c>
      <c r="Y14">
        <v>0.8</v>
      </c>
      <c r="Z14">
        <v>0.6</v>
      </c>
      <c r="AA14">
        <v>0.6</v>
      </c>
      <c r="AB14">
        <v>0.7</v>
      </c>
      <c r="AC14">
        <v>2</v>
      </c>
      <c r="AD14">
        <v>2</v>
      </c>
      <c r="AE14">
        <v>0.5</v>
      </c>
      <c r="AG14">
        <v>0.7</v>
      </c>
      <c r="AH14">
        <v>1</v>
      </c>
      <c r="AI14">
        <v>0.6</v>
      </c>
      <c r="AJ14">
        <v>0.7</v>
      </c>
      <c r="AK14">
        <v>0.8</v>
      </c>
      <c r="AL14">
        <v>0.8</v>
      </c>
      <c r="AM14">
        <v>0.4</v>
      </c>
      <c r="AN14">
        <v>1</v>
      </c>
    </row>
    <row r="15" spans="2:40" ht="12.75">
      <c r="B15" s="208" t="s">
        <v>267</v>
      </c>
      <c r="C15" s="8" t="s">
        <v>268</v>
      </c>
      <c r="D15" s="81">
        <f>COUNT(Q15:EC15)</f>
        <v>23</v>
      </c>
      <c r="E15" s="40">
        <f>AVERAGE(Q15:EC15)</f>
        <v>23.043478260869566</v>
      </c>
      <c r="F15" s="40">
        <f t="shared" si="0"/>
        <v>17.071224472780873</v>
      </c>
      <c r="G15" s="40">
        <f>STDEV(Q15:EC15)</f>
        <v>41.77154127009263</v>
      </c>
      <c r="H15" s="40">
        <f>QUARTILE(Q15:EC15,2)</f>
        <v>10</v>
      </c>
      <c r="I15" s="40">
        <f>MIN(Q15:EC15)</f>
        <v>5</v>
      </c>
      <c r="J15" s="40">
        <f>MAX(Q15:EC15)</f>
        <v>165</v>
      </c>
      <c r="K15" s="40">
        <f>PERCENTILE(Q15:EC15,0.95)</f>
        <v>129.49999999999986</v>
      </c>
      <c r="L15" s="106" t="str">
        <f>IF(H15&lt;10,"A",IF(H15&lt;130,"B",IF(H15&lt;260,"C",IF(H15&lt;550,"D","E"))))</f>
        <v>B</v>
      </c>
      <c r="N15" s="116" t="s">
        <v>255</v>
      </c>
      <c r="O15" s="108"/>
      <c r="P15" t="s">
        <v>255</v>
      </c>
      <c r="Q15">
        <v>15</v>
      </c>
      <c r="R15">
        <v>10</v>
      </c>
      <c r="S15">
        <v>25</v>
      </c>
      <c r="T15">
        <v>5</v>
      </c>
      <c r="U15">
        <v>140</v>
      </c>
      <c r="V15">
        <v>5</v>
      </c>
      <c r="W15">
        <v>5</v>
      </c>
      <c r="X15">
        <v>5</v>
      </c>
      <c r="Y15">
        <v>5</v>
      </c>
      <c r="Z15">
        <v>10</v>
      </c>
      <c r="AA15">
        <v>5</v>
      </c>
      <c r="AB15">
        <v>5</v>
      </c>
      <c r="AC15">
        <v>165</v>
      </c>
      <c r="AD15">
        <v>15</v>
      </c>
      <c r="AE15">
        <v>10</v>
      </c>
      <c r="AG15">
        <v>5</v>
      </c>
      <c r="AH15">
        <v>35</v>
      </c>
      <c r="AI15">
        <v>5</v>
      </c>
      <c r="AJ15">
        <v>5</v>
      </c>
      <c r="AK15">
        <v>20</v>
      </c>
      <c r="AL15">
        <v>10</v>
      </c>
      <c r="AM15">
        <v>5</v>
      </c>
      <c r="AN15">
        <v>20</v>
      </c>
    </row>
    <row r="16" spans="2:15" ht="12.75">
      <c r="B16" s="72"/>
      <c r="C16" s="95"/>
      <c r="D16" s="87"/>
      <c r="E16" s="88"/>
      <c r="F16" s="88"/>
      <c r="G16" s="88"/>
      <c r="H16" s="88"/>
      <c r="I16" s="88"/>
      <c r="J16" s="88"/>
      <c r="K16" s="88"/>
      <c r="L16" s="105"/>
      <c r="N16" s="116"/>
      <c r="O16" s="108"/>
    </row>
    <row r="17" spans="2:37" ht="12.75">
      <c r="B17" s="73" t="s">
        <v>107</v>
      </c>
      <c r="C17" s="9" t="s">
        <v>17</v>
      </c>
      <c r="D17" s="81">
        <f>COUNT(Q17:EC17)</f>
        <v>7</v>
      </c>
      <c r="E17" s="44">
        <f>AVERAGE(Q17:EC17)</f>
        <v>132.14285714285714</v>
      </c>
      <c r="F17" s="44">
        <f>CONFIDENCE(0.05,G17,D17)</f>
        <v>3.537994719246831</v>
      </c>
      <c r="G17" s="44">
        <f>STDEV(Q17:EC17)</f>
        <v>4.775931721614554</v>
      </c>
      <c r="H17" s="44">
        <f>QUARTILE(Q17:EC17,2)</f>
        <v>134</v>
      </c>
      <c r="I17" s="44">
        <f>MIN(Q17:EC17)</f>
        <v>127</v>
      </c>
      <c r="J17" s="44">
        <f>MAX(Q17:EC17)</f>
        <v>139</v>
      </c>
      <c r="K17" s="44">
        <f>PERCENTILE(Q17:EC17,0.95)</f>
        <v>137.8</v>
      </c>
      <c r="L17" s="102" t="str">
        <f>IF(H17&gt;120,"A",IF(H17&gt;100,"B",IF(H17&gt;80,"C",IF(H17&gt;60,"D","E"))))</f>
        <v>A</v>
      </c>
      <c r="N17" s="116" t="s">
        <v>17</v>
      </c>
      <c r="O17" s="108"/>
      <c r="P17" t="s">
        <v>17</v>
      </c>
      <c r="Q17">
        <v>128</v>
      </c>
      <c r="U17">
        <v>135</v>
      </c>
      <c r="X17">
        <v>127</v>
      </c>
      <c r="AB17">
        <v>139</v>
      </c>
      <c r="AF17">
        <v>135</v>
      </c>
      <c r="AG17">
        <v>134</v>
      </c>
      <c r="AK17">
        <v>127</v>
      </c>
    </row>
    <row r="18" spans="2:37" ht="12.75">
      <c r="B18" s="74"/>
      <c r="C18" s="96" t="s">
        <v>18</v>
      </c>
      <c r="D18" s="81">
        <f>COUNT(Q18:EC18)</f>
        <v>7</v>
      </c>
      <c r="E18" s="44">
        <f>AVERAGE(Q18:EC18)</f>
        <v>7.136857142857143</v>
      </c>
      <c r="F18" s="44">
        <f>CONFIDENCE(0.05,G18,D18)</f>
        <v>0.2926498580071535</v>
      </c>
      <c r="G18" s="44">
        <f>STDEV(Q18:EC18)</f>
        <v>0.3950474353675398</v>
      </c>
      <c r="H18" s="44">
        <f>QUARTILE(Q18:EC18,2)</f>
        <v>7.05</v>
      </c>
      <c r="I18" s="44">
        <f>MIN(Q18:EC18)</f>
        <v>6.478</v>
      </c>
      <c r="J18" s="44">
        <f>MAX(Q18:EC18)</f>
        <v>7.72</v>
      </c>
      <c r="K18" s="44">
        <f>PERCENTILE(Q18:EC18,0.95)</f>
        <v>7.6419999999999995</v>
      </c>
      <c r="L18" s="105" t="str">
        <f>IF(H18&gt;6,"A",IF(H18&gt;5,"B",IF(H18&gt;4,"C",IF(H18&gt;3,"D","E"))))</f>
        <v>A</v>
      </c>
      <c r="N18" s="116" t="s">
        <v>18</v>
      </c>
      <c r="O18" s="108"/>
      <c r="P18" t="s">
        <v>18</v>
      </c>
      <c r="Q18">
        <v>7.46</v>
      </c>
      <c r="U18">
        <v>7</v>
      </c>
      <c r="X18">
        <v>7.25</v>
      </c>
      <c r="AB18">
        <v>7.72</v>
      </c>
      <c r="AF18">
        <v>7</v>
      </c>
      <c r="AG18">
        <v>7.05</v>
      </c>
      <c r="AK18">
        <v>6.478</v>
      </c>
    </row>
    <row r="19" spans="2:37" ht="12.75">
      <c r="B19" s="71" t="s">
        <v>106</v>
      </c>
      <c r="C19" s="7" t="s">
        <v>19</v>
      </c>
      <c r="D19" s="86">
        <f>COUNT(Q19:EC19)</f>
        <v>7</v>
      </c>
      <c r="E19" s="113">
        <f>AVERAGE(Q19:EC19)</f>
        <v>8.879285714285716</v>
      </c>
      <c r="F19" s="113">
        <f>CONFIDENCE(0.05,G19,D19)</f>
        <v>0.419736320217116</v>
      </c>
      <c r="G19" s="113">
        <f>STDEV(Q19:EC19)</f>
        <v>0.5666011866929623</v>
      </c>
      <c r="H19" s="113">
        <f>QUARTILE(Q19:EC19,2)</f>
        <v>8.755</v>
      </c>
      <c r="I19" s="113">
        <f>MIN(Q19:EC19)</f>
        <v>8.1</v>
      </c>
      <c r="J19" s="113">
        <f>MAX(Q19:EC19)</f>
        <v>9.7</v>
      </c>
      <c r="K19" s="113">
        <f>PERCENTILE(Q19:EC19,0.95)</f>
        <v>9.639999999999999</v>
      </c>
      <c r="L19" s="102" t="str">
        <f>IF(H19&gt;8,"A",IF(H19&gt;6,"B",IF(H19&gt;4,"C",IF(H19&gt;2,"D","E"))))</f>
        <v>A</v>
      </c>
      <c r="N19" s="116" t="s">
        <v>96</v>
      </c>
      <c r="O19" s="108"/>
      <c r="P19" t="s">
        <v>96</v>
      </c>
      <c r="R19">
        <v>8.59</v>
      </c>
      <c r="S19">
        <v>8.5</v>
      </c>
      <c r="T19">
        <v>9.01</v>
      </c>
      <c r="X19">
        <v>8.1</v>
      </c>
      <c r="AB19">
        <v>9.7</v>
      </c>
      <c r="AG19">
        <v>9.5</v>
      </c>
      <c r="AK19">
        <v>8.755</v>
      </c>
    </row>
    <row r="20" spans="2:37" ht="13.5" thickBot="1">
      <c r="B20" s="72"/>
      <c r="C20" s="97" t="s">
        <v>122</v>
      </c>
      <c r="D20" s="87">
        <f>COUNT(Q20:EC20)</f>
        <v>4</v>
      </c>
      <c r="E20" s="114">
        <f>AVERAGE(Q20:EC20)</f>
        <v>0.575</v>
      </c>
      <c r="F20" s="114">
        <f>CONFIDENCE(0.05,G20,D20)</f>
        <v>0.9412419670427912</v>
      </c>
      <c r="G20" s="114">
        <f>STDEV(Q20:EC20)</f>
        <v>0.9604686356149273</v>
      </c>
      <c r="H20" s="114">
        <f>QUARTILE(Q20:EC20,2)</f>
        <v>0.15</v>
      </c>
      <c r="I20" s="114">
        <f>MIN(Q20:EC20)</f>
        <v>0</v>
      </c>
      <c r="J20" s="114">
        <f>MAX(Q20:EC20)</f>
        <v>2</v>
      </c>
      <c r="K20" s="114">
        <f>PERCENTILE(Q20:EC20,0.95)</f>
        <v>1.7449999999999994</v>
      </c>
      <c r="L20" s="105"/>
      <c r="N20" s="116" t="s">
        <v>97</v>
      </c>
      <c r="O20" s="108"/>
      <c r="P20" t="s">
        <v>97</v>
      </c>
      <c r="X20">
        <v>0.3</v>
      </c>
      <c r="AB20">
        <v>0</v>
      </c>
      <c r="AG20">
        <v>2</v>
      </c>
      <c r="AK20">
        <v>0</v>
      </c>
    </row>
    <row r="21" spans="2:15" ht="12.75">
      <c r="B21" s="80"/>
      <c r="C21" s="89"/>
      <c r="D21" s="89"/>
      <c r="E21" s="89"/>
      <c r="F21" s="89"/>
      <c r="G21" s="89"/>
      <c r="H21" s="89"/>
      <c r="I21" s="89"/>
      <c r="J21" s="89"/>
      <c r="K21" s="89"/>
      <c r="L21" s="100"/>
      <c r="O21" s="108"/>
    </row>
    <row r="22" spans="2:17" ht="12.75">
      <c r="B22" s="210" t="s">
        <v>119</v>
      </c>
      <c r="C22" s="211"/>
      <c r="D22" s="211"/>
      <c r="E22" s="211"/>
      <c r="F22" s="211"/>
      <c r="G22" s="76" t="str">
        <f>'Combined Score Calcs'!AD10</f>
        <v>A</v>
      </c>
      <c r="H22" s="39"/>
      <c r="I22" s="39"/>
      <c r="J22" s="39"/>
      <c r="K22" s="99"/>
      <c r="L22" s="90"/>
      <c r="N22" s="111"/>
      <c r="O22" s="108"/>
      <c r="Q22" s="20"/>
    </row>
    <row r="23" spans="2:17" ht="13.5" thickBot="1">
      <c r="B23" s="83"/>
      <c r="C23" s="84"/>
      <c r="D23" s="84"/>
      <c r="E23" s="84"/>
      <c r="F23" s="84"/>
      <c r="G23" s="84"/>
      <c r="H23" s="84"/>
      <c r="I23" s="84"/>
      <c r="J23" s="84"/>
      <c r="K23" s="84"/>
      <c r="L23" s="91"/>
      <c r="N23" s="111"/>
      <c r="O23" s="108"/>
      <c r="Q23" s="20"/>
    </row>
    <row r="24" spans="12:17" ht="12.75">
      <c r="L24" s="60"/>
      <c r="N24" s="111"/>
      <c r="O24" s="108"/>
      <c r="Q24" s="20"/>
    </row>
    <row r="25" spans="12:15" ht="12.75">
      <c r="L25" s="60"/>
      <c r="O25" s="108"/>
    </row>
    <row r="26" spans="12:15" ht="12.75">
      <c r="L26" s="60"/>
      <c r="O26" s="108"/>
    </row>
    <row r="27" spans="12:15" ht="12.75">
      <c r="L27" s="60"/>
      <c r="O27" s="108"/>
    </row>
    <row r="28" spans="7:15" ht="12.75">
      <c r="G28" t="s">
        <v>140</v>
      </c>
      <c r="H28" t="s">
        <v>141</v>
      </c>
      <c r="L28" s="60"/>
      <c r="O28" s="108"/>
    </row>
    <row r="29" spans="5:15" ht="12.75">
      <c r="E29" s="158"/>
      <c r="F29" s="153"/>
      <c r="G29" s="118" t="s">
        <v>21</v>
      </c>
      <c r="H29" s="136">
        <v>1.5</v>
      </c>
      <c r="I29" s="137">
        <v>10</v>
      </c>
      <c r="J29" s="119"/>
      <c r="K29" s="119"/>
      <c r="L29" s="60"/>
      <c r="O29" s="108"/>
    </row>
    <row r="30" spans="5:12" ht="12.75">
      <c r="E30" s="158"/>
      <c r="F30" s="153"/>
      <c r="G30" s="122" t="s">
        <v>22</v>
      </c>
      <c r="H30" s="137">
        <v>65</v>
      </c>
      <c r="I30" s="137">
        <v>270</v>
      </c>
      <c r="J30" s="119"/>
      <c r="K30" s="119"/>
      <c r="L30" s="60"/>
    </row>
    <row r="31" spans="5:12" ht="12.75">
      <c r="E31" s="158"/>
      <c r="F31" s="153"/>
      <c r="G31" s="122" t="s">
        <v>23</v>
      </c>
      <c r="H31" s="137">
        <v>50</v>
      </c>
      <c r="I31" s="137">
        <v>220</v>
      </c>
      <c r="J31" s="119"/>
      <c r="K31" s="119"/>
      <c r="L31" s="60"/>
    </row>
    <row r="32" spans="5:12" ht="12.75">
      <c r="E32" s="158"/>
      <c r="F32" s="153"/>
      <c r="G32" s="122" t="s">
        <v>24</v>
      </c>
      <c r="H32" s="137">
        <v>200</v>
      </c>
      <c r="I32" s="137">
        <v>210</v>
      </c>
      <c r="J32" s="119"/>
      <c r="K32" s="119"/>
      <c r="L32" s="60"/>
    </row>
    <row r="33" spans="7:12" ht="12.75">
      <c r="G33" s="122"/>
      <c r="H33" t="s">
        <v>137</v>
      </c>
      <c r="I33" t="s">
        <v>138</v>
      </c>
      <c r="L33" s="60"/>
    </row>
    <row r="34" ht="12.75">
      <c r="L34" s="60"/>
    </row>
    <row r="35" ht="12.75">
      <c r="L35" s="60"/>
    </row>
    <row r="36" spans="5:12" ht="12.75">
      <c r="E36" s="158"/>
      <c r="F36" s="153"/>
      <c r="G36" s="119"/>
      <c r="H36" s="119"/>
      <c r="I36" s="119"/>
      <c r="J36" s="119"/>
      <c r="K36" s="119"/>
      <c r="L36" s="60"/>
    </row>
    <row r="37" spans="5:12" ht="12.75">
      <c r="E37" s="158"/>
      <c r="F37" s="153"/>
      <c r="G37" s="119"/>
      <c r="H37" s="119"/>
      <c r="I37" s="119"/>
      <c r="J37" s="119"/>
      <c r="K37" s="119"/>
      <c r="L37" s="60"/>
    </row>
    <row r="38" spans="5:12" ht="12.75">
      <c r="E38" s="158"/>
      <c r="F38" s="153"/>
      <c r="G38" s="119"/>
      <c r="H38" s="119"/>
      <c r="I38" s="119"/>
      <c r="J38" s="119"/>
      <c r="K38" s="119"/>
      <c r="L38" s="60"/>
    </row>
    <row r="39" spans="5:12" ht="12.75">
      <c r="E39" s="158"/>
      <c r="F39" s="153"/>
      <c r="G39" s="119"/>
      <c r="H39" s="119"/>
      <c r="I39" s="119"/>
      <c r="J39" s="119"/>
      <c r="K39" s="119"/>
      <c r="L39" s="60"/>
    </row>
    <row r="40" spans="5:12" ht="12.75">
      <c r="E40" s="158"/>
      <c r="F40" s="153"/>
      <c r="G40" s="119"/>
      <c r="H40" s="119"/>
      <c r="I40" s="119"/>
      <c r="J40" s="119"/>
      <c r="K40" s="119"/>
      <c r="L40" s="60"/>
    </row>
    <row r="41" spans="5:12" ht="12.75">
      <c r="E41" s="158"/>
      <c r="F41" s="153"/>
      <c r="G41" s="119"/>
      <c r="H41" s="119"/>
      <c r="I41" s="119"/>
      <c r="J41" s="119"/>
      <c r="K41" s="119"/>
      <c r="L41" s="60"/>
    </row>
    <row r="42" ht="12.75">
      <c r="L42" s="60"/>
    </row>
  </sheetData>
  <mergeCells count="1">
    <mergeCell ref="B22:F22"/>
  </mergeCells>
  <printOptions/>
  <pageMargins left="0.75" right="0.75" top="1" bottom="1" header="0.5" footer="0.5"/>
  <pageSetup horizontalDpi="600" verticalDpi="600" orientation="portrait" paperSize="133" r:id="rId1"/>
</worksheet>
</file>

<file path=xl/worksheets/sheet30.xml><?xml version="1.0" encoding="utf-8"?>
<worksheet xmlns="http://schemas.openxmlformats.org/spreadsheetml/2006/main" xmlns:r="http://schemas.openxmlformats.org/officeDocument/2006/relationships">
  <dimension ref="A1:AJ123"/>
  <sheetViews>
    <sheetView workbookViewId="0" topLeftCell="A1">
      <selection activeCell="D28" sqref="D28"/>
    </sheetView>
  </sheetViews>
  <sheetFormatPr defaultColWidth="9.140625" defaultRowHeight="12.75"/>
  <cols>
    <col min="3" max="3" width="11.00390625" style="0" bestFit="1" customWidth="1"/>
  </cols>
  <sheetData>
    <row r="1" spans="4:36" ht="12.75">
      <c r="D1" t="s">
        <v>25</v>
      </c>
      <c r="E1" t="s">
        <v>45</v>
      </c>
      <c r="F1" t="s">
        <v>46</v>
      </c>
      <c r="G1" t="s">
        <v>47</v>
      </c>
      <c r="H1" t="s">
        <v>48</v>
      </c>
      <c r="I1" t="s">
        <v>49</v>
      </c>
      <c r="J1" t="s">
        <v>50</v>
      </c>
      <c r="K1" t="s">
        <v>51</v>
      </c>
      <c r="L1" t="s">
        <v>52</v>
      </c>
      <c r="M1" t="s">
        <v>53</v>
      </c>
      <c r="N1" t="s">
        <v>54</v>
      </c>
      <c r="O1" t="s">
        <v>55</v>
      </c>
      <c r="P1" t="s">
        <v>56</v>
      </c>
      <c r="Q1" t="s">
        <v>57</v>
      </c>
      <c r="R1" t="s">
        <v>58</v>
      </c>
      <c r="S1" t="s">
        <v>59</v>
      </c>
      <c r="T1" t="s">
        <v>60</v>
      </c>
      <c r="U1" t="s">
        <v>61</v>
      </c>
      <c r="V1" t="s">
        <v>62</v>
      </c>
      <c r="W1" t="s">
        <v>63</v>
      </c>
      <c r="X1" t="s">
        <v>64</v>
      </c>
      <c r="Y1" t="s">
        <v>65</v>
      </c>
      <c r="Z1" t="s">
        <v>66</v>
      </c>
      <c r="AA1" t="s">
        <v>67</v>
      </c>
      <c r="AB1" t="s">
        <v>68</v>
      </c>
      <c r="AC1" t="s">
        <v>69</v>
      </c>
      <c r="AD1" t="s">
        <v>70</v>
      </c>
      <c r="AF1" s="3" t="s">
        <v>3</v>
      </c>
      <c r="AG1" s="3" t="s">
        <v>27</v>
      </c>
      <c r="AH1" s="3" t="s">
        <v>1</v>
      </c>
      <c r="AI1" s="3" t="s">
        <v>2</v>
      </c>
      <c r="AJ1" s="3" t="s">
        <v>0</v>
      </c>
    </row>
    <row r="2" spans="3:36" ht="12.75">
      <c r="C2" s="79" t="s">
        <v>115</v>
      </c>
      <c r="D2" s="78" t="str">
        <f>'Combined Score Calcs'!F10</f>
        <v>E</v>
      </c>
      <c r="E2" s="78" t="str">
        <f>'Combined Score Calcs'!G10</f>
        <v>D</v>
      </c>
      <c r="F2" s="78" t="str">
        <f>'Combined Score Calcs'!H10</f>
        <v>C</v>
      </c>
      <c r="G2" s="78" t="str">
        <f>'Combined Score Calcs'!I10</f>
        <v>E</v>
      </c>
      <c r="H2" s="78" t="str">
        <f>'Combined Score Calcs'!J10</f>
        <v>D</v>
      </c>
      <c r="I2" s="78" t="str">
        <f>'Combined Score Calcs'!K10</f>
        <v>D</v>
      </c>
      <c r="J2" s="78" t="str">
        <f>'Combined Score Calcs'!L10</f>
        <v>D</v>
      </c>
      <c r="K2" s="78" t="str">
        <f>'Combined Score Calcs'!M10</f>
        <v>D</v>
      </c>
      <c r="L2" s="78" t="str">
        <f>'Combined Score Calcs'!N10</f>
        <v>A</v>
      </c>
      <c r="M2" s="78" t="str">
        <f>'Combined Score Calcs'!O10</f>
        <v>D</v>
      </c>
      <c r="N2" s="78" t="str">
        <f>'Combined Score Calcs'!P10</f>
        <v>A</v>
      </c>
      <c r="O2" s="78" t="str">
        <f>'Combined Score Calcs'!Q10</f>
        <v>C</v>
      </c>
      <c r="P2" s="78" t="str">
        <f>'Combined Score Calcs'!R10</f>
        <v>D</v>
      </c>
      <c r="Q2" s="78" t="str">
        <f>'Combined Score Calcs'!S10</f>
        <v>C</v>
      </c>
      <c r="R2" s="78" t="str">
        <f>'Combined Score Calcs'!T10</f>
        <v>B</v>
      </c>
      <c r="S2" s="78" t="str">
        <f>'Combined Score Calcs'!U10</f>
        <v>A</v>
      </c>
      <c r="T2" s="78" t="str">
        <f>'Combined Score Calcs'!V10</f>
        <v>A</v>
      </c>
      <c r="U2" s="78" t="str">
        <f>'Combined Score Calcs'!W10</f>
        <v>C</v>
      </c>
      <c r="V2" s="78" t="str">
        <f>'Combined Score Calcs'!X10</f>
        <v>B</v>
      </c>
      <c r="W2" s="78" t="str">
        <f>'Combined Score Calcs'!Y10</f>
        <v>C</v>
      </c>
      <c r="X2" s="78" t="str">
        <f>'Combined Score Calcs'!Z10</f>
        <v>C</v>
      </c>
      <c r="Y2" s="78" t="str">
        <f>'Combined Score Calcs'!AA10</f>
        <v>A</v>
      </c>
      <c r="Z2" s="78" t="str">
        <f>'Combined Score Calcs'!AB10</f>
        <v>A</v>
      </c>
      <c r="AA2" s="78" t="str">
        <f>'Combined Score Calcs'!AC10</f>
        <v>A</v>
      </c>
      <c r="AB2" s="78" t="str">
        <f>'Combined Score Calcs'!AD10</f>
        <v>A</v>
      </c>
      <c r="AC2" s="78" t="str">
        <f>'Combined Score Calcs'!AE10</f>
        <v>B</v>
      </c>
      <c r="AD2" s="78" t="str">
        <f>'Combined Score Calcs'!AF10</f>
        <v>A</v>
      </c>
      <c r="AE2" s="24"/>
      <c r="AF2">
        <f>COUNTIF($D2:$AD2,"A")</f>
        <v>9</v>
      </c>
      <c r="AG2">
        <f>COUNTIF($D2:$AD2,"B")</f>
        <v>3</v>
      </c>
      <c r="AH2">
        <f>COUNTIF($D2:$AD2,"C")</f>
        <v>6</v>
      </c>
      <c r="AI2">
        <f>COUNTIF($D2:$AD2,"D")</f>
        <v>7</v>
      </c>
      <c r="AJ2">
        <f>COUNTIF($D2:$AD2,"E")</f>
        <v>2</v>
      </c>
    </row>
    <row r="3" spans="4:32" ht="12.75">
      <c r="D3" s="24">
        <f>CODE(D2)-64</f>
        <v>5</v>
      </c>
      <c r="E3" s="24">
        <f aca="true" t="shared" si="0" ref="E3:AD3">CODE(E2)-64</f>
        <v>4</v>
      </c>
      <c r="F3" s="24">
        <f t="shared" si="0"/>
        <v>3</v>
      </c>
      <c r="G3" s="24">
        <f t="shared" si="0"/>
        <v>5</v>
      </c>
      <c r="H3" s="24">
        <f t="shared" si="0"/>
        <v>4</v>
      </c>
      <c r="I3" s="24">
        <f t="shared" si="0"/>
        <v>4</v>
      </c>
      <c r="J3" s="24">
        <f t="shared" si="0"/>
        <v>4</v>
      </c>
      <c r="K3" s="24">
        <f t="shared" si="0"/>
        <v>4</v>
      </c>
      <c r="L3" s="24">
        <f t="shared" si="0"/>
        <v>1</v>
      </c>
      <c r="M3" s="24">
        <f t="shared" si="0"/>
        <v>4</v>
      </c>
      <c r="N3" s="24">
        <f t="shared" si="0"/>
        <v>1</v>
      </c>
      <c r="O3" s="24">
        <f t="shared" si="0"/>
        <v>3</v>
      </c>
      <c r="P3" s="24">
        <f t="shared" si="0"/>
        <v>4</v>
      </c>
      <c r="Q3" s="24">
        <f t="shared" si="0"/>
        <v>3</v>
      </c>
      <c r="R3" s="24">
        <f t="shared" si="0"/>
        <v>2</v>
      </c>
      <c r="S3" s="24">
        <f t="shared" si="0"/>
        <v>1</v>
      </c>
      <c r="T3" s="24">
        <f t="shared" si="0"/>
        <v>1</v>
      </c>
      <c r="U3" s="24">
        <f t="shared" si="0"/>
        <v>3</v>
      </c>
      <c r="V3" s="24">
        <f t="shared" si="0"/>
        <v>2</v>
      </c>
      <c r="W3" s="24">
        <f t="shared" si="0"/>
        <v>3</v>
      </c>
      <c r="X3" s="24">
        <f t="shared" si="0"/>
        <v>3</v>
      </c>
      <c r="Y3" s="24">
        <f t="shared" si="0"/>
        <v>1</v>
      </c>
      <c r="Z3" s="24">
        <f t="shared" si="0"/>
        <v>1</v>
      </c>
      <c r="AA3" s="24">
        <f t="shared" si="0"/>
        <v>1</v>
      </c>
      <c r="AB3" s="24">
        <f t="shared" si="0"/>
        <v>1</v>
      </c>
      <c r="AC3" s="24">
        <f t="shared" si="0"/>
        <v>2</v>
      </c>
      <c r="AD3" s="24">
        <f t="shared" si="0"/>
        <v>1</v>
      </c>
      <c r="AF3" s="23">
        <f>AVERAGE(D3:AD3)</f>
        <v>2.6296296296296298</v>
      </c>
    </row>
    <row r="4" spans="3:30" ht="12.75">
      <c r="C4" t="s">
        <v>116</v>
      </c>
      <c r="D4" t="s">
        <v>25</v>
      </c>
      <c r="E4" t="s">
        <v>45</v>
      </c>
      <c r="F4" t="s">
        <v>46</v>
      </c>
      <c r="G4" t="s">
        <v>47</v>
      </c>
      <c r="H4" t="s">
        <v>48</v>
      </c>
      <c r="I4" t="s">
        <v>49</v>
      </c>
      <c r="J4" t="s">
        <v>50</v>
      </c>
      <c r="K4" t="s">
        <v>51</v>
      </c>
      <c r="L4" t="s">
        <v>52</v>
      </c>
      <c r="M4" t="s">
        <v>53</v>
      </c>
      <c r="N4" t="s">
        <v>54</v>
      </c>
      <c r="O4" t="s">
        <v>55</v>
      </c>
      <c r="P4" t="s">
        <v>56</v>
      </c>
      <c r="Q4" t="s">
        <v>57</v>
      </c>
      <c r="R4" t="s">
        <v>58</v>
      </c>
      <c r="S4" t="s">
        <v>59</v>
      </c>
      <c r="T4" t="s">
        <v>60</v>
      </c>
      <c r="U4" t="s">
        <v>61</v>
      </c>
      <c r="V4" t="s">
        <v>62</v>
      </c>
      <c r="W4" t="s">
        <v>63</v>
      </c>
      <c r="X4" t="s">
        <v>64</v>
      </c>
      <c r="Y4" t="s">
        <v>65</v>
      </c>
      <c r="Z4" t="s">
        <v>66</v>
      </c>
      <c r="AA4" t="s">
        <v>67</v>
      </c>
      <c r="AB4" t="s">
        <v>68</v>
      </c>
      <c r="AC4" t="s">
        <v>69</v>
      </c>
      <c r="AD4" t="s">
        <v>70</v>
      </c>
    </row>
    <row r="5" spans="3:36" ht="12.75">
      <c r="C5" t="s">
        <v>117</v>
      </c>
      <c r="D5" s="3" t="s">
        <v>0</v>
      </c>
      <c r="E5" s="3" t="s">
        <v>2</v>
      </c>
      <c r="F5" s="3" t="s">
        <v>27</v>
      </c>
      <c r="G5" s="3" t="s">
        <v>2</v>
      </c>
      <c r="H5" s="3" t="s">
        <v>2</v>
      </c>
      <c r="I5" s="3" t="s">
        <v>0</v>
      </c>
      <c r="J5" s="3" t="s">
        <v>2</v>
      </c>
      <c r="K5" s="3" t="s">
        <v>2</v>
      </c>
      <c r="L5" s="3" t="s">
        <v>3</v>
      </c>
      <c r="M5" s="3" t="s">
        <v>2</v>
      </c>
      <c r="N5" s="3" t="s">
        <v>3</v>
      </c>
      <c r="O5" s="3" t="s">
        <v>2</v>
      </c>
      <c r="P5" s="3" t="s">
        <v>2</v>
      </c>
      <c r="Q5" s="3" t="s">
        <v>2</v>
      </c>
      <c r="R5" s="3" t="s">
        <v>1</v>
      </c>
      <c r="S5" s="3" t="s">
        <v>3</v>
      </c>
      <c r="T5" s="3" t="s">
        <v>27</v>
      </c>
      <c r="U5" s="3" t="s">
        <v>1</v>
      </c>
      <c r="V5" s="3" t="s">
        <v>27</v>
      </c>
      <c r="W5" s="3" t="s">
        <v>27</v>
      </c>
      <c r="X5" s="3" t="s">
        <v>1</v>
      </c>
      <c r="Y5" s="3" t="s">
        <v>3</v>
      </c>
      <c r="Z5" s="3" t="s">
        <v>3</v>
      </c>
      <c r="AA5" s="3" t="s">
        <v>27</v>
      </c>
      <c r="AB5" s="3" t="s">
        <v>3</v>
      </c>
      <c r="AC5" s="3" t="s">
        <v>27</v>
      </c>
      <c r="AD5" s="3" t="s">
        <v>27</v>
      </c>
      <c r="AF5">
        <f>COUNTIF($D5:$AD5,"A")</f>
        <v>6</v>
      </c>
      <c r="AG5">
        <f>COUNTIF($D5:$AD5,"B")</f>
        <v>7</v>
      </c>
      <c r="AH5">
        <f>COUNTIF($D5:$AD5,"C")</f>
        <v>3</v>
      </c>
      <c r="AI5">
        <f>COUNTIF($D5:$AD5,"D")</f>
        <v>9</v>
      </c>
      <c r="AJ5">
        <f>COUNTIF($D5:$AD5,"E")</f>
        <v>2</v>
      </c>
    </row>
    <row r="6" spans="3:36" ht="12.75">
      <c r="C6" t="s">
        <v>118</v>
      </c>
      <c r="D6" s="3" t="s">
        <v>0</v>
      </c>
      <c r="E6" s="3" t="s">
        <v>2</v>
      </c>
      <c r="F6" s="3" t="s">
        <v>1</v>
      </c>
      <c r="G6" s="3" t="s">
        <v>2</v>
      </c>
      <c r="H6" s="3" t="s">
        <v>0</v>
      </c>
      <c r="I6" s="3" t="s">
        <v>0</v>
      </c>
      <c r="J6" s="3" t="s">
        <v>2</v>
      </c>
      <c r="K6" s="3" t="s">
        <v>2</v>
      </c>
      <c r="L6" s="3" t="s">
        <v>3</v>
      </c>
      <c r="M6" s="3" t="s">
        <v>2</v>
      </c>
      <c r="N6" s="3" t="s">
        <v>3</v>
      </c>
      <c r="O6" s="3" t="s">
        <v>1</v>
      </c>
      <c r="P6" s="3" t="s">
        <v>2</v>
      </c>
      <c r="Q6" s="3" t="s">
        <v>1</v>
      </c>
      <c r="R6" s="3" t="s">
        <v>27</v>
      </c>
      <c r="S6" s="3" t="s">
        <v>3</v>
      </c>
      <c r="T6" s="3" t="s">
        <v>3</v>
      </c>
      <c r="U6" s="3" t="s">
        <v>1</v>
      </c>
      <c r="V6" s="3" t="s">
        <v>1</v>
      </c>
      <c r="W6" s="3" t="s">
        <v>1</v>
      </c>
      <c r="X6" s="3" t="s">
        <v>1</v>
      </c>
      <c r="Y6" s="3" t="s">
        <v>3</v>
      </c>
      <c r="Z6" s="3" t="s">
        <v>3</v>
      </c>
      <c r="AA6" s="3" t="s">
        <v>3</v>
      </c>
      <c r="AB6" s="3" t="s">
        <v>3</v>
      </c>
      <c r="AC6" s="3" t="s">
        <v>27</v>
      </c>
      <c r="AD6" s="3" t="s">
        <v>27</v>
      </c>
      <c r="AF6">
        <f>COUNTIF($D6:$AD6,"A")</f>
        <v>8</v>
      </c>
      <c r="AG6">
        <f>COUNTIF($D6:$AD6,"B")</f>
        <v>3</v>
      </c>
      <c r="AH6">
        <f>COUNTIF($D6:$AD6,"C")</f>
        <v>7</v>
      </c>
      <c r="AI6">
        <f>COUNTIF($D6:$AD6,"D")</f>
        <v>6</v>
      </c>
      <c r="AJ6">
        <f>COUNTIF($D6:$AD6,"E")</f>
        <v>3</v>
      </c>
    </row>
    <row r="7" spans="3:30" ht="12.75">
      <c r="C7" t="s">
        <v>118</v>
      </c>
      <c r="D7" s="3" t="s">
        <v>0</v>
      </c>
      <c r="E7" s="3" t="s">
        <v>2</v>
      </c>
      <c r="F7" s="3" t="s">
        <v>1</v>
      </c>
      <c r="G7" s="3" t="s">
        <v>0</v>
      </c>
      <c r="H7" s="3" t="s">
        <v>2</v>
      </c>
      <c r="I7" s="3" t="s">
        <v>2</v>
      </c>
      <c r="J7" s="3" t="s">
        <v>2</v>
      </c>
      <c r="K7" s="3" t="s">
        <v>2</v>
      </c>
      <c r="L7" s="3" t="s">
        <v>3</v>
      </c>
      <c r="M7" s="3" t="s">
        <v>2</v>
      </c>
      <c r="N7" s="3" t="s">
        <v>3</v>
      </c>
      <c r="O7" s="3" t="s">
        <v>1</v>
      </c>
      <c r="P7" s="3" t="s">
        <v>2</v>
      </c>
      <c r="Q7" s="3" t="s">
        <v>1</v>
      </c>
      <c r="R7" s="3" t="s">
        <v>27</v>
      </c>
      <c r="S7" s="3" t="s">
        <v>3</v>
      </c>
      <c r="T7" s="3" t="s">
        <v>3</v>
      </c>
      <c r="U7" s="3" t="s">
        <v>1</v>
      </c>
      <c r="V7" s="3" t="s">
        <v>27</v>
      </c>
      <c r="W7" s="3" t="s">
        <v>1</v>
      </c>
      <c r="X7" s="3" t="s">
        <v>1</v>
      </c>
      <c r="Y7" s="3" t="s">
        <v>3</v>
      </c>
      <c r="Z7" s="3" t="s">
        <v>3</v>
      </c>
      <c r="AA7" s="3" t="s">
        <v>3</v>
      </c>
      <c r="AB7" s="3" t="s">
        <v>3</v>
      </c>
      <c r="AC7" s="3" t="s">
        <v>27</v>
      </c>
      <c r="AD7" s="3" t="s">
        <v>3</v>
      </c>
    </row>
    <row r="8" spans="4:30" ht="12.75">
      <c r="D8" s="3"/>
      <c r="E8" s="3"/>
      <c r="F8" s="3"/>
      <c r="G8" s="3"/>
      <c r="H8" s="3"/>
      <c r="I8" s="3"/>
      <c r="J8" s="3"/>
      <c r="K8" s="3"/>
      <c r="L8" s="3"/>
      <c r="M8" s="3"/>
      <c r="N8" s="3"/>
      <c r="O8" s="3"/>
      <c r="P8" s="3"/>
      <c r="Q8" s="3"/>
      <c r="R8" s="3"/>
      <c r="S8" s="3"/>
      <c r="T8" s="3"/>
      <c r="U8" s="3"/>
      <c r="V8" s="3"/>
      <c r="W8" s="3"/>
      <c r="X8" s="3"/>
      <c r="Y8" s="3"/>
      <c r="Z8" s="3"/>
      <c r="AA8" s="3"/>
      <c r="AB8" s="3"/>
      <c r="AC8" s="3"/>
      <c r="AD8" s="3"/>
    </row>
    <row r="9" ht="12.75">
      <c r="C9">
        <v>2000</v>
      </c>
    </row>
    <row r="10" spans="3:30" ht="12.75">
      <c r="C10">
        <v>2001</v>
      </c>
      <c r="D10" s="78" t="s">
        <v>0</v>
      </c>
      <c r="E10" s="78" t="s">
        <v>2</v>
      </c>
      <c r="F10" s="78" t="s">
        <v>27</v>
      </c>
      <c r="G10" s="78" t="s">
        <v>2</v>
      </c>
      <c r="H10" s="78" t="s">
        <v>0</v>
      </c>
      <c r="I10" s="78" t="s">
        <v>2</v>
      </c>
      <c r="J10" s="78" t="s">
        <v>2</v>
      </c>
      <c r="K10" s="78" t="s">
        <v>2</v>
      </c>
      <c r="L10" s="78" t="s">
        <v>27</v>
      </c>
      <c r="M10" s="78" t="s">
        <v>1</v>
      </c>
      <c r="N10" s="78" t="s">
        <v>3</v>
      </c>
      <c r="O10" s="78" t="s">
        <v>1</v>
      </c>
      <c r="P10" s="78" t="s">
        <v>2</v>
      </c>
      <c r="Q10" s="78" t="s">
        <v>27</v>
      </c>
      <c r="R10" s="78" t="s">
        <v>27</v>
      </c>
      <c r="S10" s="78" t="s">
        <v>3</v>
      </c>
      <c r="T10" s="78" t="s">
        <v>3</v>
      </c>
      <c r="U10" s="78" t="s">
        <v>1</v>
      </c>
      <c r="V10" s="78" t="s">
        <v>27</v>
      </c>
      <c r="W10" s="78" t="s">
        <v>27</v>
      </c>
      <c r="X10" s="78" t="s">
        <v>1</v>
      </c>
      <c r="Y10" s="78" t="s">
        <v>3</v>
      </c>
      <c r="Z10" s="78" t="s">
        <v>3</v>
      </c>
      <c r="AA10" s="78" t="s">
        <v>27</v>
      </c>
      <c r="AB10" s="78" t="s">
        <v>3</v>
      </c>
      <c r="AC10" s="78" t="s">
        <v>27</v>
      </c>
      <c r="AD10" s="78" t="s">
        <v>1</v>
      </c>
    </row>
    <row r="11" spans="3:30" ht="12.75">
      <c r="C11">
        <v>2002</v>
      </c>
      <c r="D11" s="3" t="s">
        <v>0</v>
      </c>
      <c r="E11" s="3" t="s">
        <v>2</v>
      </c>
      <c r="F11" s="3" t="s">
        <v>1</v>
      </c>
      <c r="G11" s="3" t="s">
        <v>2</v>
      </c>
      <c r="H11" s="3" t="s">
        <v>2</v>
      </c>
      <c r="I11" s="3" t="s">
        <v>2</v>
      </c>
      <c r="J11" s="3" t="s">
        <v>2</v>
      </c>
      <c r="K11" s="3" t="s">
        <v>0</v>
      </c>
      <c r="L11" s="3" t="s">
        <v>3</v>
      </c>
      <c r="M11" s="3" t="s">
        <v>1</v>
      </c>
      <c r="N11" s="3" t="s">
        <v>3</v>
      </c>
      <c r="O11" s="3" t="s">
        <v>1</v>
      </c>
      <c r="P11" s="3" t="s">
        <v>1</v>
      </c>
      <c r="Q11" s="3" t="s">
        <v>2</v>
      </c>
      <c r="R11" s="3" t="s">
        <v>27</v>
      </c>
      <c r="S11" s="3" t="s">
        <v>27</v>
      </c>
      <c r="T11" s="3" t="s">
        <v>3</v>
      </c>
      <c r="U11" s="3" t="s">
        <v>27</v>
      </c>
      <c r="V11" s="3" t="s">
        <v>27</v>
      </c>
      <c r="W11" s="3" t="s">
        <v>1</v>
      </c>
      <c r="X11" s="3" t="s">
        <v>1</v>
      </c>
      <c r="Y11" s="3" t="s">
        <v>3</v>
      </c>
      <c r="Z11" s="3" t="s">
        <v>27</v>
      </c>
      <c r="AA11" s="3" t="s">
        <v>3</v>
      </c>
      <c r="AB11" s="3" t="s">
        <v>3</v>
      </c>
      <c r="AC11" s="3" t="s">
        <v>27</v>
      </c>
      <c r="AD11" s="3" t="s">
        <v>27</v>
      </c>
    </row>
    <row r="12" spans="3:30" ht="12.75">
      <c r="C12">
        <v>2003</v>
      </c>
      <c r="D12" s="3" t="s">
        <v>0</v>
      </c>
      <c r="E12" s="3" t="s">
        <v>2</v>
      </c>
      <c r="F12" s="3" t="s">
        <v>27</v>
      </c>
      <c r="G12" s="3" t="s">
        <v>0</v>
      </c>
      <c r="H12" s="3" t="s">
        <v>2</v>
      </c>
      <c r="I12" s="3" t="s">
        <v>0</v>
      </c>
      <c r="J12" s="3" t="s">
        <v>2</v>
      </c>
      <c r="K12" s="3" t="s">
        <v>1</v>
      </c>
      <c r="L12" s="3" t="s">
        <v>3</v>
      </c>
      <c r="M12" s="3" t="s">
        <v>1</v>
      </c>
      <c r="N12" s="3" t="s">
        <v>3</v>
      </c>
      <c r="O12" s="3" t="s">
        <v>1</v>
      </c>
      <c r="P12" s="3" t="s">
        <v>1</v>
      </c>
      <c r="Q12" s="3" t="s">
        <v>1</v>
      </c>
      <c r="R12" s="3" t="s">
        <v>27</v>
      </c>
      <c r="S12" s="3" t="s">
        <v>3</v>
      </c>
      <c r="T12" s="3" t="s">
        <v>3</v>
      </c>
      <c r="U12" s="3" t="s">
        <v>1</v>
      </c>
      <c r="V12" s="3" t="s">
        <v>3</v>
      </c>
      <c r="W12" s="3" t="s">
        <v>27</v>
      </c>
      <c r="X12" s="3" t="s">
        <v>2</v>
      </c>
      <c r="Y12" s="3" t="s">
        <v>3</v>
      </c>
      <c r="Z12" s="3" t="s">
        <v>3</v>
      </c>
      <c r="AA12" s="3" t="s">
        <v>27</v>
      </c>
      <c r="AB12" s="3" t="s">
        <v>3</v>
      </c>
      <c r="AC12" s="3" t="s">
        <v>27</v>
      </c>
      <c r="AD12" s="3" t="s">
        <v>27</v>
      </c>
    </row>
    <row r="13" spans="3:30" ht="12.75">
      <c r="C13">
        <v>2004</v>
      </c>
      <c r="D13" s="3" t="s">
        <v>0</v>
      </c>
      <c r="E13" s="3" t="s">
        <v>0</v>
      </c>
      <c r="F13" s="3" t="s">
        <v>1</v>
      </c>
      <c r="G13" s="3" t="s">
        <v>2</v>
      </c>
      <c r="H13" s="3" t="s">
        <v>0</v>
      </c>
      <c r="I13" s="3" t="s">
        <v>0</v>
      </c>
      <c r="J13" s="3" t="s">
        <v>2</v>
      </c>
      <c r="K13" s="3" t="s">
        <v>1</v>
      </c>
      <c r="L13" s="3" t="s">
        <v>3</v>
      </c>
      <c r="M13" s="3" t="s">
        <v>2</v>
      </c>
      <c r="N13" s="3" t="s">
        <v>3</v>
      </c>
      <c r="O13" s="3" t="s">
        <v>1</v>
      </c>
      <c r="P13" s="3" t="s">
        <v>27</v>
      </c>
      <c r="Q13" s="3" t="s">
        <v>1</v>
      </c>
      <c r="R13" s="3" t="s">
        <v>1</v>
      </c>
      <c r="S13" s="3" t="s">
        <v>3</v>
      </c>
      <c r="T13" s="3" t="s">
        <v>27</v>
      </c>
      <c r="U13" s="3" t="s">
        <v>1</v>
      </c>
      <c r="V13" s="3" t="s">
        <v>3</v>
      </c>
      <c r="W13" s="3" t="s">
        <v>1</v>
      </c>
      <c r="X13" s="3" t="s">
        <v>2</v>
      </c>
      <c r="Y13" s="3" t="s">
        <v>3</v>
      </c>
      <c r="Z13" s="3" t="s">
        <v>3</v>
      </c>
      <c r="AA13" s="3" t="s">
        <v>27</v>
      </c>
      <c r="AB13" s="3" t="s">
        <v>27</v>
      </c>
      <c r="AC13" s="3" t="s">
        <v>27</v>
      </c>
      <c r="AD13" s="3" t="s">
        <v>1</v>
      </c>
    </row>
    <row r="14" spans="3:30" ht="12.75">
      <c r="C14">
        <v>2005</v>
      </c>
      <c r="D14" s="3" t="s">
        <v>0</v>
      </c>
      <c r="E14" s="3" t="s">
        <v>2</v>
      </c>
      <c r="F14" s="3" t="s">
        <v>1</v>
      </c>
      <c r="G14" s="3" t="s">
        <v>0</v>
      </c>
      <c r="H14" s="3" t="s">
        <v>2</v>
      </c>
      <c r="I14" s="3" t="s">
        <v>0</v>
      </c>
      <c r="J14" s="3" t="s">
        <v>2</v>
      </c>
      <c r="K14" s="3" t="s">
        <v>2</v>
      </c>
      <c r="L14" s="3" t="s">
        <v>3</v>
      </c>
      <c r="M14" s="3" t="s">
        <v>1</v>
      </c>
      <c r="N14" s="3" t="s">
        <v>3</v>
      </c>
      <c r="O14" s="3" t="s">
        <v>27</v>
      </c>
      <c r="P14" s="3" t="s">
        <v>2</v>
      </c>
      <c r="Q14" s="3" t="s">
        <v>27</v>
      </c>
      <c r="R14" s="3" t="s">
        <v>27</v>
      </c>
      <c r="S14" s="3" t="s">
        <v>3</v>
      </c>
      <c r="T14" s="3" t="s">
        <v>27</v>
      </c>
      <c r="U14" s="3" t="s">
        <v>1</v>
      </c>
      <c r="V14" s="3" t="s">
        <v>27</v>
      </c>
      <c r="W14" s="3" t="s">
        <v>1</v>
      </c>
      <c r="X14" s="3" t="s">
        <v>1</v>
      </c>
      <c r="Y14" s="3" t="s">
        <v>3</v>
      </c>
      <c r="Z14" s="3" t="s">
        <v>3</v>
      </c>
      <c r="AA14" s="3" t="s">
        <v>27</v>
      </c>
      <c r="AB14" s="3" t="s">
        <v>3</v>
      </c>
      <c r="AC14" s="3" t="s">
        <v>27</v>
      </c>
      <c r="AD14" s="3" t="s">
        <v>27</v>
      </c>
    </row>
    <row r="15" spans="3:30" ht="12.75">
      <c r="C15">
        <v>2006</v>
      </c>
      <c r="D15" s="3" t="s">
        <v>0</v>
      </c>
      <c r="E15" s="3" t="s">
        <v>0</v>
      </c>
      <c r="F15" s="3" t="s">
        <v>1</v>
      </c>
      <c r="G15" s="3" t="s">
        <v>0</v>
      </c>
      <c r="H15" s="3" t="s">
        <v>0</v>
      </c>
      <c r="I15" s="3" t="s">
        <v>0</v>
      </c>
      <c r="J15" s="3" t="s">
        <v>2</v>
      </c>
      <c r="K15" s="3" t="s">
        <v>2</v>
      </c>
      <c r="L15" s="3" t="s">
        <v>27</v>
      </c>
      <c r="M15" s="3" t="s">
        <v>1</v>
      </c>
      <c r="N15" s="3" t="s">
        <v>3</v>
      </c>
      <c r="O15" s="3" t="s">
        <v>2</v>
      </c>
      <c r="P15" s="3" t="s">
        <v>2</v>
      </c>
      <c r="Q15" s="3" t="s">
        <v>1</v>
      </c>
      <c r="R15" s="3" t="s">
        <v>1</v>
      </c>
      <c r="S15" s="3" t="s">
        <v>27</v>
      </c>
      <c r="T15" s="3" t="s">
        <v>27</v>
      </c>
      <c r="U15" s="3" t="s">
        <v>27</v>
      </c>
      <c r="V15" s="3" t="s">
        <v>27</v>
      </c>
      <c r="W15" s="3" t="s">
        <v>1</v>
      </c>
      <c r="X15" s="3" t="s">
        <v>2</v>
      </c>
      <c r="Y15" s="3" t="s">
        <v>3</v>
      </c>
      <c r="Z15" s="3" t="s">
        <v>3</v>
      </c>
      <c r="AA15" s="3" t="s">
        <v>27</v>
      </c>
      <c r="AB15" s="3" t="s">
        <v>27</v>
      </c>
      <c r="AC15" s="3" t="s">
        <v>3</v>
      </c>
      <c r="AD15" s="3" t="s">
        <v>3</v>
      </c>
    </row>
    <row r="16" spans="3:30" ht="12.75">
      <c r="C16">
        <v>2007</v>
      </c>
      <c r="D16" s="3" t="s">
        <v>0</v>
      </c>
      <c r="E16" s="3" t="s">
        <v>0</v>
      </c>
      <c r="F16" s="3" t="s">
        <v>27</v>
      </c>
      <c r="G16" s="3" t="s">
        <v>0</v>
      </c>
      <c r="H16" s="3" t="s">
        <v>0</v>
      </c>
      <c r="I16" s="3" t="s">
        <v>0</v>
      </c>
      <c r="J16" s="3" t="s">
        <v>0</v>
      </c>
      <c r="K16" s="3" t="s">
        <v>1</v>
      </c>
      <c r="L16" s="3" t="s">
        <v>3</v>
      </c>
      <c r="M16" s="3" t="s">
        <v>2</v>
      </c>
      <c r="N16" s="3" t="s">
        <v>3</v>
      </c>
      <c r="O16" s="3" t="s">
        <v>2</v>
      </c>
      <c r="P16" s="3" t="s">
        <v>1</v>
      </c>
      <c r="Q16" s="3" t="s">
        <v>2</v>
      </c>
      <c r="R16" s="3" t="s">
        <v>1</v>
      </c>
      <c r="S16" s="3" t="s">
        <v>3</v>
      </c>
      <c r="T16" s="3" t="s">
        <v>27</v>
      </c>
      <c r="U16" s="3" t="s">
        <v>1</v>
      </c>
      <c r="V16" s="3" t="s">
        <v>27</v>
      </c>
      <c r="W16" s="3" t="s">
        <v>1</v>
      </c>
      <c r="X16" s="3" t="s">
        <v>1</v>
      </c>
      <c r="Y16" s="3" t="s">
        <v>3</v>
      </c>
      <c r="Z16" s="3" t="s">
        <v>3</v>
      </c>
      <c r="AA16" s="3" t="s">
        <v>27</v>
      </c>
      <c r="AB16" s="3" t="s">
        <v>3</v>
      </c>
      <c r="AC16" s="3" t="s">
        <v>27</v>
      </c>
      <c r="AD16" s="3" t="s">
        <v>27</v>
      </c>
    </row>
    <row r="17" ht="12.75">
      <c r="C17">
        <v>2008</v>
      </c>
    </row>
    <row r="18" ht="12.75">
      <c r="C18">
        <v>2009</v>
      </c>
    </row>
    <row r="19" ht="12.75">
      <c r="C19">
        <v>2010</v>
      </c>
    </row>
    <row r="20" ht="12.75">
      <c r="C20">
        <v>2011</v>
      </c>
    </row>
    <row r="21" ht="12.75">
      <c r="C21">
        <v>2012</v>
      </c>
    </row>
    <row r="22" ht="12.75">
      <c r="C22">
        <v>2013</v>
      </c>
    </row>
    <row r="23" ht="12.75">
      <c r="C23">
        <v>2014</v>
      </c>
    </row>
    <row r="24" ht="12.75">
      <c r="C24">
        <v>2015</v>
      </c>
    </row>
    <row r="25" ht="12.75">
      <c r="C25">
        <v>2016</v>
      </c>
    </row>
    <row r="26" ht="12.75">
      <c r="D26" s="109" t="s">
        <v>266</v>
      </c>
    </row>
    <row r="27" spans="1:30" s="109" customFormat="1" ht="12.75">
      <c r="A27" s="170">
        <f>SUM(D27:AD27)</f>
        <v>-7</v>
      </c>
      <c r="B27" s="170" t="s">
        <v>257</v>
      </c>
      <c r="C27" s="109">
        <f>COUNTIF(D27:AD27,"1")</f>
        <v>3</v>
      </c>
      <c r="D27" s="170">
        <f>CODE(D7)-CODE(D16)</f>
        <v>0</v>
      </c>
      <c r="E27" s="170">
        <f aca="true" t="shared" si="1" ref="E27:AD27">CODE(E7)-CODE(E16)</f>
        <v>-1</v>
      </c>
      <c r="F27" s="170">
        <f t="shared" si="1"/>
        <v>1</v>
      </c>
      <c r="G27" s="170">
        <f t="shared" si="1"/>
        <v>0</v>
      </c>
      <c r="H27" s="170">
        <f t="shared" si="1"/>
        <v>-1</v>
      </c>
      <c r="I27" s="170">
        <f t="shared" si="1"/>
        <v>-1</v>
      </c>
      <c r="J27" s="170">
        <f t="shared" si="1"/>
        <v>-1</v>
      </c>
      <c r="K27" s="170">
        <f t="shared" si="1"/>
        <v>1</v>
      </c>
      <c r="L27" s="170">
        <f t="shared" si="1"/>
        <v>0</v>
      </c>
      <c r="M27" s="170">
        <f t="shared" si="1"/>
        <v>0</v>
      </c>
      <c r="N27" s="170">
        <f t="shared" si="1"/>
        <v>0</v>
      </c>
      <c r="O27" s="170">
        <f t="shared" si="1"/>
        <v>-1</v>
      </c>
      <c r="P27" s="170">
        <f t="shared" si="1"/>
        <v>1</v>
      </c>
      <c r="Q27" s="170">
        <f t="shared" si="1"/>
        <v>-1</v>
      </c>
      <c r="R27" s="170">
        <f t="shared" si="1"/>
        <v>-1</v>
      </c>
      <c r="S27" s="170">
        <f t="shared" si="1"/>
        <v>0</v>
      </c>
      <c r="T27" s="170">
        <f t="shared" si="1"/>
        <v>-1</v>
      </c>
      <c r="U27" s="170">
        <f t="shared" si="1"/>
        <v>0</v>
      </c>
      <c r="V27" s="170">
        <f t="shared" si="1"/>
        <v>0</v>
      </c>
      <c r="W27" s="170">
        <f t="shared" si="1"/>
        <v>0</v>
      </c>
      <c r="X27" s="170">
        <f t="shared" si="1"/>
        <v>0</v>
      </c>
      <c r="Y27" s="170">
        <f t="shared" si="1"/>
        <v>0</v>
      </c>
      <c r="Z27" s="170">
        <f t="shared" si="1"/>
        <v>0</v>
      </c>
      <c r="AA27" s="170">
        <f t="shared" si="1"/>
        <v>-1</v>
      </c>
      <c r="AB27" s="170">
        <f t="shared" si="1"/>
        <v>0</v>
      </c>
      <c r="AC27" s="170">
        <f t="shared" si="1"/>
        <v>0</v>
      </c>
      <c r="AD27" s="170">
        <f t="shared" si="1"/>
        <v>-1</v>
      </c>
    </row>
    <row r="28" spans="2:6" s="109" customFormat="1" ht="12.75">
      <c r="B28" s="109" t="s">
        <v>258</v>
      </c>
      <c r="C28" s="109">
        <f>COUNTIF(D27:AD27,"-1")</f>
        <v>10</v>
      </c>
      <c r="D28" s="170"/>
      <c r="F28" s="171"/>
    </row>
    <row r="29" spans="2:5" ht="12.75">
      <c r="B29" s="109" t="s">
        <v>259</v>
      </c>
      <c r="C29" s="109">
        <f>COUNTIF(D27:AD27,"0")</f>
        <v>14</v>
      </c>
      <c r="D29" s="170"/>
      <c r="E29" s="27"/>
    </row>
    <row r="37" spans="2:30" ht="12.75">
      <c r="B37" t="s">
        <v>265</v>
      </c>
      <c r="C37" t="s">
        <v>116</v>
      </c>
      <c r="D37" t="s">
        <v>25</v>
      </c>
      <c r="E37" t="s">
        <v>45</v>
      </c>
      <c r="F37" t="s">
        <v>46</v>
      </c>
      <c r="G37" t="s">
        <v>47</v>
      </c>
      <c r="H37" t="s">
        <v>48</v>
      </c>
      <c r="I37" t="s">
        <v>49</v>
      </c>
      <c r="J37" t="s">
        <v>50</v>
      </c>
      <c r="K37" t="s">
        <v>51</v>
      </c>
      <c r="L37" t="s">
        <v>52</v>
      </c>
      <c r="M37" t="s">
        <v>53</v>
      </c>
      <c r="N37" t="s">
        <v>54</v>
      </c>
      <c r="O37" t="s">
        <v>55</v>
      </c>
      <c r="P37" t="s">
        <v>56</v>
      </c>
      <c r="Q37" t="s">
        <v>57</v>
      </c>
      <c r="R37" t="s">
        <v>58</v>
      </c>
      <c r="S37" t="s">
        <v>59</v>
      </c>
      <c r="T37" t="s">
        <v>60</v>
      </c>
      <c r="U37" t="s">
        <v>61</v>
      </c>
      <c r="V37" t="s">
        <v>62</v>
      </c>
      <c r="W37" t="s">
        <v>63</v>
      </c>
      <c r="X37" t="s">
        <v>64</v>
      </c>
      <c r="Y37" t="s">
        <v>65</v>
      </c>
      <c r="Z37" t="s">
        <v>66</v>
      </c>
      <c r="AA37" t="s">
        <v>67</v>
      </c>
      <c r="AB37" t="s">
        <v>68</v>
      </c>
      <c r="AC37" t="s">
        <v>69</v>
      </c>
      <c r="AD37" t="s">
        <v>70</v>
      </c>
    </row>
    <row r="38" spans="2:30" ht="12.75">
      <c r="B38">
        <v>2000</v>
      </c>
      <c r="C38" t="s">
        <v>118</v>
      </c>
      <c r="D38">
        <f>CODE(D7)-64</f>
        <v>5</v>
      </c>
      <c r="E38">
        <f aca="true" t="shared" si="2" ref="E38:AD38">CODE(E7)-64</f>
        <v>4</v>
      </c>
      <c r="F38">
        <f t="shared" si="2"/>
        <v>3</v>
      </c>
      <c r="G38">
        <f t="shared" si="2"/>
        <v>5</v>
      </c>
      <c r="H38">
        <f t="shared" si="2"/>
        <v>4</v>
      </c>
      <c r="I38">
        <f t="shared" si="2"/>
        <v>4</v>
      </c>
      <c r="J38">
        <f t="shared" si="2"/>
        <v>4</v>
      </c>
      <c r="K38">
        <f t="shared" si="2"/>
        <v>4</v>
      </c>
      <c r="L38">
        <f t="shared" si="2"/>
        <v>1</v>
      </c>
      <c r="M38">
        <f t="shared" si="2"/>
        <v>4</v>
      </c>
      <c r="N38">
        <f t="shared" si="2"/>
        <v>1</v>
      </c>
      <c r="O38">
        <f t="shared" si="2"/>
        <v>3</v>
      </c>
      <c r="P38">
        <f t="shared" si="2"/>
        <v>4</v>
      </c>
      <c r="Q38">
        <f t="shared" si="2"/>
        <v>3</v>
      </c>
      <c r="R38">
        <f t="shared" si="2"/>
        <v>2</v>
      </c>
      <c r="S38">
        <f t="shared" si="2"/>
        <v>1</v>
      </c>
      <c r="T38">
        <f t="shared" si="2"/>
        <v>1</v>
      </c>
      <c r="U38">
        <f t="shared" si="2"/>
        <v>3</v>
      </c>
      <c r="V38">
        <f t="shared" si="2"/>
        <v>2</v>
      </c>
      <c r="W38">
        <f t="shared" si="2"/>
        <v>3</v>
      </c>
      <c r="X38">
        <f t="shared" si="2"/>
        <v>3</v>
      </c>
      <c r="Y38">
        <f t="shared" si="2"/>
        <v>1</v>
      </c>
      <c r="Z38">
        <f t="shared" si="2"/>
        <v>1</v>
      </c>
      <c r="AA38">
        <f t="shared" si="2"/>
        <v>1</v>
      </c>
      <c r="AB38">
        <f t="shared" si="2"/>
        <v>1</v>
      </c>
      <c r="AC38">
        <f t="shared" si="2"/>
        <v>2</v>
      </c>
      <c r="AD38">
        <f t="shared" si="2"/>
        <v>1</v>
      </c>
    </row>
    <row r="39" spans="2:30" ht="12.75">
      <c r="B39">
        <v>2006</v>
      </c>
      <c r="D39">
        <v>5</v>
      </c>
      <c r="E39">
        <v>4</v>
      </c>
      <c r="F39">
        <v>3</v>
      </c>
      <c r="G39">
        <v>5</v>
      </c>
      <c r="H39">
        <v>4</v>
      </c>
      <c r="I39">
        <v>4</v>
      </c>
      <c r="J39">
        <v>4</v>
      </c>
      <c r="K39">
        <v>4</v>
      </c>
      <c r="L39">
        <v>1</v>
      </c>
      <c r="M39">
        <v>4</v>
      </c>
      <c r="N39">
        <v>1</v>
      </c>
      <c r="O39">
        <v>3</v>
      </c>
      <c r="P39">
        <v>4</v>
      </c>
      <c r="Q39">
        <v>3</v>
      </c>
      <c r="R39">
        <v>2</v>
      </c>
      <c r="S39">
        <v>1</v>
      </c>
      <c r="T39">
        <v>1</v>
      </c>
      <c r="U39">
        <v>3</v>
      </c>
      <c r="V39">
        <v>2</v>
      </c>
      <c r="W39">
        <v>3</v>
      </c>
      <c r="X39">
        <v>3</v>
      </c>
      <c r="Y39">
        <v>1</v>
      </c>
      <c r="Z39">
        <v>1</v>
      </c>
      <c r="AA39">
        <v>1</v>
      </c>
      <c r="AB39">
        <v>1</v>
      </c>
      <c r="AC39">
        <v>2</v>
      </c>
      <c r="AD39">
        <v>1</v>
      </c>
    </row>
    <row r="41" spans="3:30" ht="12.75">
      <c r="C41">
        <v>2000</v>
      </c>
      <c r="D41" s="24">
        <f aca="true" t="shared" si="3" ref="D41:D48">IF(ISBLANK(D9),"",CODE(D9)-64)</f>
      </c>
      <c r="E41" s="24">
        <f aca="true" t="shared" si="4" ref="E41:AD48">IF(ISBLANK(E9),"",CODE(E9)-64)</f>
      </c>
      <c r="F41" s="24">
        <f t="shared" si="4"/>
      </c>
      <c r="G41" s="24">
        <f t="shared" si="4"/>
      </c>
      <c r="H41" s="24">
        <f t="shared" si="4"/>
      </c>
      <c r="I41" s="24">
        <f t="shared" si="4"/>
      </c>
      <c r="J41" s="24">
        <f t="shared" si="4"/>
      </c>
      <c r="K41" s="24">
        <f t="shared" si="4"/>
      </c>
      <c r="L41" s="24">
        <f t="shared" si="4"/>
      </c>
      <c r="M41" s="24">
        <f t="shared" si="4"/>
      </c>
      <c r="N41" s="24">
        <f t="shared" si="4"/>
      </c>
      <c r="O41" s="24">
        <f t="shared" si="4"/>
      </c>
      <c r="P41" s="24">
        <f t="shared" si="4"/>
      </c>
      <c r="Q41" s="24">
        <f t="shared" si="4"/>
      </c>
      <c r="R41" s="24">
        <f t="shared" si="4"/>
      </c>
      <c r="S41" s="24">
        <f t="shared" si="4"/>
      </c>
      <c r="T41" s="24">
        <f t="shared" si="4"/>
      </c>
      <c r="U41" s="24">
        <f t="shared" si="4"/>
      </c>
      <c r="V41" s="24">
        <f t="shared" si="4"/>
      </c>
      <c r="W41" s="24">
        <f t="shared" si="4"/>
      </c>
      <c r="X41" s="24">
        <f t="shared" si="4"/>
      </c>
      <c r="Y41" s="24">
        <f t="shared" si="4"/>
      </c>
      <c r="Z41" s="24">
        <f t="shared" si="4"/>
      </c>
      <c r="AA41" s="24">
        <f t="shared" si="4"/>
      </c>
      <c r="AB41" s="24">
        <f t="shared" si="4"/>
      </c>
      <c r="AC41" s="24">
        <f t="shared" si="4"/>
      </c>
      <c r="AD41" s="24">
        <f t="shared" si="4"/>
      </c>
    </row>
    <row r="42" spans="3:30" ht="12.75">
      <c r="C42">
        <v>2001</v>
      </c>
      <c r="D42" s="24">
        <f t="shared" si="3"/>
        <v>5</v>
      </c>
      <c r="E42" s="24">
        <f aca="true" t="shared" si="5" ref="E42:S42">IF(ISBLANK(E10),"",CODE(E10)-64)</f>
        <v>4</v>
      </c>
      <c r="F42" s="24">
        <f t="shared" si="5"/>
        <v>2</v>
      </c>
      <c r="G42" s="24">
        <f t="shared" si="5"/>
        <v>4</v>
      </c>
      <c r="H42" s="24">
        <f t="shared" si="5"/>
        <v>5</v>
      </c>
      <c r="I42" s="24">
        <f t="shared" si="5"/>
        <v>4</v>
      </c>
      <c r="J42" s="24">
        <f t="shared" si="5"/>
        <v>4</v>
      </c>
      <c r="K42" s="24">
        <f t="shared" si="5"/>
        <v>4</v>
      </c>
      <c r="L42" s="24">
        <f t="shared" si="5"/>
        <v>2</v>
      </c>
      <c r="M42" s="24">
        <f t="shared" si="5"/>
        <v>3</v>
      </c>
      <c r="N42" s="24">
        <f t="shared" si="5"/>
        <v>1</v>
      </c>
      <c r="O42" s="24">
        <f t="shared" si="5"/>
        <v>3</v>
      </c>
      <c r="P42" s="24">
        <f t="shared" si="5"/>
        <v>4</v>
      </c>
      <c r="Q42" s="24">
        <f t="shared" si="5"/>
        <v>2</v>
      </c>
      <c r="R42" s="24">
        <f t="shared" si="5"/>
        <v>2</v>
      </c>
      <c r="S42" s="24">
        <f t="shared" si="5"/>
        <v>1</v>
      </c>
      <c r="T42" s="24">
        <f t="shared" si="4"/>
        <v>1</v>
      </c>
      <c r="U42" s="24">
        <f t="shared" si="4"/>
        <v>3</v>
      </c>
      <c r="V42" s="24">
        <f t="shared" si="4"/>
        <v>2</v>
      </c>
      <c r="W42" s="24">
        <f t="shared" si="4"/>
        <v>2</v>
      </c>
      <c r="X42" s="24">
        <f t="shared" si="4"/>
        <v>3</v>
      </c>
      <c r="Y42" s="24">
        <f t="shared" si="4"/>
        <v>1</v>
      </c>
      <c r="Z42" s="24">
        <f t="shared" si="4"/>
        <v>1</v>
      </c>
      <c r="AA42" s="24">
        <f t="shared" si="4"/>
        <v>2</v>
      </c>
      <c r="AB42" s="24">
        <f t="shared" si="4"/>
        <v>1</v>
      </c>
      <c r="AC42" s="24">
        <f t="shared" si="4"/>
        <v>2</v>
      </c>
      <c r="AD42" s="24">
        <f t="shared" si="4"/>
        <v>3</v>
      </c>
    </row>
    <row r="43" spans="3:30" ht="12.75">
      <c r="C43">
        <v>2002</v>
      </c>
      <c r="D43" s="24">
        <f t="shared" si="3"/>
        <v>5</v>
      </c>
      <c r="E43" s="24">
        <f t="shared" si="4"/>
        <v>4</v>
      </c>
      <c r="F43" s="24">
        <f t="shared" si="4"/>
        <v>3</v>
      </c>
      <c r="G43" s="24">
        <f t="shared" si="4"/>
        <v>4</v>
      </c>
      <c r="H43" s="24">
        <f t="shared" si="4"/>
        <v>4</v>
      </c>
      <c r="I43" s="24">
        <f t="shared" si="4"/>
        <v>4</v>
      </c>
      <c r="J43" s="24">
        <f t="shared" si="4"/>
        <v>4</v>
      </c>
      <c r="K43" s="24">
        <f t="shared" si="4"/>
        <v>5</v>
      </c>
      <c r="L43" s="24">
        <f t="shared" si="4"/>
        <v>1</v>
      </c>
      <c r="M43" s="24">
        <f t="shared" si="4"/>
        <v>3</v>
      </c>
      <c r="N43" s="24">
        <f t="shared" si="4"/>
        <v>1</v>
      </c>
      <c r="O43" s="24">
        <f t="shared" si="4"/>
        <v>3</v>
      </c>
      <c r="P43" s="24">
        <f t="shared" si="4"/>
        <v>3</v>
      </c>
      <c r="Q43" s="24">
        <f t="shared" si="4"/>
        <v>4</v>
      </c>
      <c r="R43" s="24">
        <f t="shared" si="4"/>
        <v>2</v>
      </c>
      <c r="S43" s="24">
        <f t="shared" si="4"/>
        <v>2</v>
      </c>
      <c r="T43" s="24">
        <f t="shared" si="4"/>
        <v>1</v>
      </c>
      <c r="U43" s="24">
        <f t="shared" si="4"/>
        <v>2</v>
      </c>
      <c r="V43" s="24">
        <f t="shared" si="4"/>
        <v>2</v>
      </c>
      <c r="W43" s="24">
        <f t="shared" si="4"/>
        <v>3</v>
      </c>
      <c r="X43" s="24">
        <f t="shared" si="4"/>
        <v>3</v>
      </c>
      <c r="Y43" s="24">
        <f t="shared" si="4"/>
        <v>1</v>
      </c>
      <c r="Z43" s="24">
        <f t="shared" si="4"/>
        <v>2</v>
      </c>
      <c r="AA43" s="24">
        <f t="shared" si="4"/>
        <v>1</v>
      </c>
      <c r="AB43" s="24">
        <f t="shared" si="4"/>
        <v>1</v>
      </c>
      <c r="AC43" s="24">
        <f t="shared" si="4"/>
        <v>2</v>
      </c>
      <c r="AD43" s="24">
        <f t="shared" si="4"/>
        <v>2</v>
      </c>
    </row>
    <row r="44" spans="3:30" ht="12.75">
      <c r="C44">
        <v>2003</v>
      </c>
      <c r="D44" s="24">
        <f t="shared" si="3"/>
        <v>5</v>
      </c>
      <c r="E44" s="24">
        <f t="shared" si="4"/>
        <v>4</v>
      </c>
      <c r="F44" s="24">
        <f t="shared" si="4"/>
        <v>2</v>
      </c>
      <c r="G44" s="24">
        <f t="shared" si="4"/>
        <v>5</v>
      </c>
      <c r="H44" s="24">
        <f t="shared" si="4"/>
        <v>4</v>
      </c>
      <c r="I44" s="24">
        <f t="shared" si="4"/>
        <v>5</v>
      </c>
      <c r="J44" s="24">
        <f t="shared" si="4"/>
        <v>4</v>
      </c>
      <c r="K44" s="24">
        <f t="shared" si="4"/>
        <v>3</v>
      </c>
      <c r="L44" s="24">
        <f t="shared" si="4"/>
        <v>1</v>
      </c>
      <c r="M44" s="24">
        <f t="shared" si="4"/>
        <v>3</v>
      </c>
      <c r="N44" s="24">
        <f t="shared" si="4"/>
        <v>1</v>
      </c>
      <c r="O44" s="24">
        <f t="shared" si="4"/>
        <v>3</v>
      </c>
      <c r="P44" s="24">
        <f t="shared" si="4"/>
        <v>3</v>
      </c>
      <c r="Q44" s="24">
        <f t="shared" si="4"/>
        <v>3</v>
      </c>
      <c r="R44" s="24">
        <f t="shared" si="4"/>
        <v>2</v>
      </c>
      <c r="S44" s="24">
        <f t="shared" si="4"/>
        <v>1</v>
      </c>
      <c r="T44" s="24">
        <f t="shared" si="4"/>
        <v>1</v>
      </c>
      <c r="U44" s="24">
        <f t="shared" si="4"/>
        <v>3</v>
      </c>
      <c r="V44" s="24">
        <f t="shared" si="4"/>
        <v>1</v>
      </c>
      <c r="W44" s="24">
        <f t="shared" si="4"/>
        <v>2</v>
      </c>
      <c r="X44" s="24">
        <f t="shared" si="4"/>
        <v>4</v>
      </c>
      <c r="Y44" s="24">
        <f t="shared" si="4"/>
        <v>1</v>
      </c>
      <c r="Z44" s="24">
        <f t="shared" si="4"/>
        <v>1</v>
      </c>
      <c r="AA44" s="24">
        <f t="shared" si="4"/>
        <v>2</v>
      </c>
      <c r="AB44" s="24">
        <f t="shared" si="4"/>
        <v>1</v>
      </c>
      <c r="AC44" s="24">
        <f t="shared" si="4"/>
        <v>2</v>
      </c>
      <c r="AD44" s="24">
        <f t="shared" si="4"/>
        <v>2</v>
      </c>
    </row>
    <row r="45" spans="3:30" ht="12.75">
      <c r="C45">
        <v>2004</v>
      </c>
      <c r="D45" s="24">
        <f t="shared" si="3"/>
        <v>5</v>
      </c>
      <c r="E45" s="24">
        <f t="shared" si="4"/>
        <v>5</v>
      </c>
      <c r="F45" s="24">
        <f t="shared" si="4"/>
        <v>3</v>
      </c>
      <c r="G45" s="24">
        <f t="shared" si="4"/>
        <v>4</v>
      </c>
      <c r="H45" s="24">
        <f t="shared" si="4"/>
        <v>5</v>
      </c>
      <c r="I45" s="24">
        <f t="shared" si="4"/>
        <v>5</v>
      </c>
      <c r="J45" s="24">
        <f t="shared" si="4"/>
        <v>4</v>
      </c>
      <c r="K45" s="24">
        <f t="shared" si="4"/>
        <v>3</v>
      </c>
      <c r="L45" s="24">
        <f t="shared" si="4"/>
        <v>1</v>
      </c>
      <c r="M45" s="24">
        <f t="shared" si="4"/>
        <v>4</v>
      </c>
      <c r="N45" s="24">
        <f t="shared" si="4"/>
        <v>1</v>
      </c>
      <c r="O45" s="24">
        <f t="shared" si="4"/>
        <v>3</v>
      </c>
      <c r="P45" s="24">
        <f t="shared" si="4"/>
        <v>2</v>
      </c>
      <c r="Q45" s="24">
        <f t="shared" si="4"/>
        <v>3</v>
      </c>
      <c r="R45" s="24">
        <f t="shared" si="4"/>
        <v>3</v>
      </c>
      <c r="S45" s="24">
        <f t="shared" si="4"/>
        <v>1</v>
      </c>
      <c r="T45" s="24">
        <f t="shared" si="4"/>
        <v>2</v>
      </c>
      <c r="U45" s="24">
        <f t="shared" si="4"/>
        <v>3</v>
      </c>
      <c r="V45" s="24">
        <f t="shared" si="4"/>
        <v>1</v>
      </c>
      <c r="W45" s="24">
        <f t="shared" si="4"/>
        <v>3</v>
      </c>
      <c r="X45" s="24">
        <f t="shared" si="4"/>
        <v>4</v>
      </c>
      <c r="Y45" s="24">
        <f t="shared" si="4"/>
        <v>1</v>
      </c>
      <c r="Z45" s="24">
        <f t="shared" si="4"/>
        <v>1</v>
      </c>
      <c r="AA45" s="24">
        <f t="shared" si="4"/>
        <v>2</v>
      </c>
      <c r="AB45" s="24">
        <f t="shared" si="4"/>
        <v>2</v>
      </c>
      <c r="AC45" s="24">
        <f t="shared" si="4"/>
        <v>2</v>
      </c>
      <c r="AD45" s="24">
        <f t="shared" si="4"/>
        <v>3</v>
      </c>
    </row>
    <row r="46" spans="3:30" ht="12.75">
      <c r="C46">
        <v>2005</v>
      </c>
      <c r="D46" s="24">
        <f t="shared" si="3"/>
        <v>5</v>
      </c>
      <c r="E46" s="24">
        <f t="shared" si="4"/>
        <v>4</v>
      </c>
      <c r="F46" s="24">
        <f t="shared" si="4"/>
        <v>3</v>
      </c>
      <c r="G46" s="24">
        <f t="shared" si="4"/>
        <v>5</v>
      </c>
      <c r="H46" s="24">
        <f t="shared" si="4"/>
        <v>4</v>
      </c>
      <c r="I46" s="24">
        <f t="shared" si="4"/>
        <v>5</v>
      </c>
      <c r="J46" s="24">
        <f t="shared" si="4"/>
        <v>4</v>
      </c>
      <c r="K46" s="24">
        <f t="shared" si="4"/>
        <v>4</v>
      </c>
      <c r="L46" s="24">
        <f t="shared" si="4"/>
        <v>1</v>
      </c>
      <c r="M46" s="24">
        <f t="shared" si="4"/>
        <v>3</v>
      </c>
      <c r="N46" s="24">
        <f t="shared" si="4"/>
        <v>1</v>
      </c>
      <c r="O46" s="24">
        <f t="shared" si="4"/>
        <v>2</v>
      </c>
      <c r="P46" s="24">
        <f t="shared" si="4"/>
        <v>4</v>
      </c>
      <c r="Q46" s="24">
        <f t="shared" si="4"/>
        <v>2</v>
      </c>
      <c r="R46" s="24">
        <f t="shared" si="4"/>
        <v>2</v>
      </c>
      <c r="S46" s="24">
        <f t="shared" si="4"/>
        <v>1</v>
      </c>
      <c r="T46" s="24">
        <f t="shared" si="4"/>
        <v>2</v>
      </c>
      <c r="U46" s="24">
        <f t="shared" si="4"/>
        <v>3</v>
      </c>
      <c r="V46" s="24">
        <f t="shared" si="4"/>
        <v>2</v>
      </c>
      <c r="W46" s="24">
        <f t="shared" si="4"/>
        <v>3</v>
      </c>
      <c r="X46" s="24">
        <f t="shared" si="4"/>
        <v>3</v>
      </c>
      <c r="Y46" s="24">
        <f t="shared" si="4"/>
        <v>1</v>
      </c>
      <c r="Z46" s="24">
        <f t="shared" si="4"/>
        <v>1</v>
      </c>
      <c r="AA46" s="24">
        <f t="shared" si="4"/>
        <v>2</v>
      </c>
      <c r="AB46" s="24">
        <f t="shared" si="4"/>
        <v>1</v>
      </c>
      <c r="AC46" s="24">
        <f t="shared" si="4"/>
        <v>2</v>
      </c>
      <c r="AD46" s="24">
        <f t="shared" si="4"/>
        <v>2</v>
      </c>
    </row>
    <row r="47" spans="3:30" ht="12.75">
      <c r="C47">
        <v>2006</v>
      </c>
      <c r="D47" s="24">
        <f t="shared" si="3"/>
        <v>5</v>
      </c>
      <c r="E47" s="24">
        <f t="shared" si="4"/>
        <v>5</v>
      </c>
      <c r="F47" s="24">
        <f t="shared" si="4"/>
        <v>3</v>
      </c>
      <c r="G47" s="24">
        <f t="shared" si="4"/>
        <v>5</v>
      </c>
      <c r="H47" s="24">
        <f t="shared" si="4"/>
        <v>5</v>
      </c>
      <c r="I47" s="24">
        <f t="shared" si="4"/>
        <v>5</v>
      </c>
      <c r="J47" s="24">
        <f t="shared" si="4"/>
        <v>4</v>
      </c>
      <c r="K47" s="24">
        <f t="shared" si="4"/>
        <v>4</v>
      </c>
      <c r="L47" s="24">
        <f t="shared" si="4"/>
        <v>2</v>
      </c>
      <c r="M47" s="24">
        <f t="shared" si="4"/>
        <v>3</v>
      </c>
      <c r="N47" s="24">
        <f t="shared" si="4"/>
        <v>1</v>
      </c>
      <c r="O47" s="24">
        <f t="shared" si="4"/>
        <v>4</v>
      </c>
      <c r="P47" s="24">
        <f t="shared" si="4"/>
        <v>4</v>
      </c>
      <c r="Q47" s="24">
        <f t="shared" si="4"/>
        <v>3</v>
      </c>
      <c r="R47" s="24">
        <f t="shared" si="4"/>
        <v>3</v>
      </c>
      <c r="S47" s="24">
        <f t="shared" si="4"/>
        <v>2</v>
      </c>
      <c r="T47" s="24">
        <f t="shared" si="4"/>
        <v>2</v>
      </c>
      <c r="U47" s="24">
        <f t="shared" si="4"/>
        <v>2</v>
      </c>
      <c r="V47" s="24">
        <f t="shared" si="4"/>
        <v>2</v>
      </c>
      <c r="W47" s="24">
        <f t="shared" si="4"/>
        <v>3</v>
      </c>
      <c r="X47" s="24">
        <f t="shared" si="4"/>
        <v>4</v>
      </c>
      <c r="Y47" s="24">
        <f t="shared" si="4"/>
        <v>1</v>
      </c>
      <c r="Z47" s="24">
        <f t="shared" si="4"/>
        <v>1</v>
      </c>
      <c r="AA47" s="24">
        <f t="shared" si="4"/>
        <v>2</v>
      </c>
      <c r="AB47" s="24">
        <f t="shared" si="4"/>
        <v>2</v>
      </c>
      <c r="AC47" s="24">
        <f t="shared" si="4"/>
        <v>1</v>
      </c>
      <c r="AD47" s="24">
        <f t="shared" si="4"/>
        <v>1</v>
      </c>
    </row>
    <row r="48" spans="3:30" ht="12.75">
      <c r="C48">
        <v>2007</v>
      </c>
      <c r="D48" s="24">
        <f t="shared" si="3"/>
        <v>5</v>
      </c>
      <c r="E48" s="24">
        <f t="shared" si="4"/>
        <v>5</v>
      </c>
      <c r="F48" s="24">
        <f t="shared" si="4"/>
        <v>2</v>
      </c>
      <c r="G48" s="24">
        <f t="shared" si="4"/>
        <v>5</v>
      </c>
      <c r="H48" s="24">
        <f t="shared" si="4"/>
        <v>5</v>
      </c>
      <c r="I48" s="24">
        <f t="shared" si="4"/>
        <v>5</v>
      </c>
      <c r="J48" s="24">
        <f t="shared" si="4"/>
        <v>5</v>
      </c>
      <c r="K48" s="24">
        <f t="shared" si="4"/>
        <v>3</v>
      </c>
      <c r="L48" s="24">
        <f t="shared" si="4"/>
        <v>1</v>
      </c>
      <c r="M48" s="24">
        <f t="shared" si="4"/>
        <v>4</v>
      </c>
      <c r="N48" s="24">
        <f t="shared" si="4"/>
        <v>1</v>
      </c>
      <c r="O48" s="24">
        <f t="shared" si="4"/>
        <v>4</v>
      </c>
      <c r="P48" s="24">
        <f t="shared" si="4"/>
        <v>3</v>
      </c>
      <c r="Q48" s="24">
        <f t="shared" si="4"/>
        <v>4</v>
      </c>
      <c r="R48" s="24">
        <f t="shared" si="4"/>
        <v>3</v>
      </c>
      <c r="S48" s="24">
        <f t="shared" si="4"/>
        <v>1</v>
      </c>
      <c r="T48" s="24">
        <f t="shared" si="4"/>
        <v>2</v>
      </c>
      <c r="U48" s="24">
        <f t="shared" si="4"/>
        <v>3</v>
      </c>
      <c r="V48" s="24">
        <f t="shared" si="4"/>
        <v>2</v>
      </c>
      <c r="W48" s="24">
        <f t="shared" si="4"/>
        <v>3</v>
      </c>
      <c r="X48" s="24">
        <f t="shared" si="4"/>
        <v>3</v>
      </c>
      <c r="Y48" s="24">
        <f t="shared" si="4"/>
        <v>1</v>
      </c>
      <c r="Z48" s="24">
        <f t="shared" si="4"/>
        <v>1</v>
      </c>
      <c r="AA48" s="24">
        <f t="shared" si="4"/>
        <v>2</v>
      </c>
      <c r="AB48" s="24">
        <f t="shared" si="4"/>
        <v>1</v>
      </c>
      <c r="AC48" s="24">
        <f t="shared" si="4"/>
        <v>2</v>
      </c>
      <c r="AD48" s="24">
        <f t="shared" si="4"/>
        <v>2</v>
      </c>
    </row>
    <row r="49" spans="3:30" ht="12.75">
      <c r="C49">
        <v>2008</v>
      </c>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row>
    <row r="51" spans="3:30" ht="12.75">
      <c r="C51" s="209" t="s">
        <v>270</v>
      </c>
      <c r="D51" s="157">
        <f>MEDIAN(D42:D49)</f>
        <v>5</v>
      </c>
      <c r="E51" s="157">
        <f aca="true" t="shared" si="6" ref="E51:AD51">MEDIAN(E42:E49)</f>
        <v>4</v>
      </c>
      <c r="F51" s="157">
        <f t="shared" si="6"/>
        <v>3</v>
      </c>
      <c r="G51" s="157">
        <f>MEDIAN(G42:G49)</f>
        <v>5</v>
      </c>
      <c r="H51" s="157">
        <f t="shared" si="6"/>
        <v>5</v>
      </c>
      <c r="I51" s="157">
        <f t="shared" si="6"/>
        <v>5</v>
      </c>
      <c r="J51" s="157">
        <f t="shared" si="6"/>
        <v>4</v>
      </c>
      <c r="K51" s="157">
        <f t="shared" si="6"/>
        <v>4</v>
      </c>
      <c r="L51" s="157">
        <f t="shared" si="6"/>
        <v>1</v>
      </c>
      <c r="M51" s="157">
        <f t="shared" si="6"/>
        <v>3</v>
      </c>
      <c r="N51" s="157">
        <f t="shared" si="6"/>
        <v>1</v>
      </c>
      <c r="O51" s="157">
        <f t="shared" si="6"/>
        <v>3</v>
      </c>
      <c r="P51" s="157">
        <f t="shared" si="6"/>
        <v>3</v>
      </c>
      <c r="Q51" s="157">
        <f t="shared" si="6"/>
        <v>3</v>
      </c>
      <c r="R51" s="157">
        <f t="shared" si="6"/>
        <v>2</v>
      </c>
      <c r="S51" s="157">
        <f t="shared" si="6"/>
        <v>1</v>
      </c>
      <c r="T51" s="157">
        <f t="shared" si="6"/>
        <v>2</v>
      </c>
      <c r="U51" s="157">
        <f t="shared" si="6"/>
        <v>3</v>
      </c>
      <c r="V51" s="157">
        <f t="shared" si="6"/>
        <v>2</v>
      </c>
      <c r="W51" s="157">
        <f t="shared" si="6"/>
        <v>3</v>
      </c>
      <c r="X51" s="157">
        <f t="shared" si="6"/>
        <v>3</v>
      </c>
      <c r="Y51" s="157">
        <f t="shared" si="6"/>
        <v>1</v>
      </c>
      <c r="Z51" s="157">
        <f t="shared" si="6"/>
        <v>1</v>
      </c>
      <c r="AA51" s="157">
        <f t="shared" si="6"/>
        <v>2</v>
      </c>
      <c r="AB51" s="157">
        <f t="shared" si="6"/>
        <v>1</v>
      </c>
      <c r="AC51" s="157">
        <f t="shared" si="6"/>
        <v>2</v>
      </c>
      <c r="AD51" s="157">
        <f t="shared" si="6"/>
        <v>2</v>
      </c>
    </row>
    <row r="52" spans="3:30" ht="12.75">
      <c r="C52" s="209" t="s">
        <v>271</v>
      </c>
      <c r="D52" s="24">
        <f>D51-D38</f>
        <v>0</v>
      </c>
      <c r="E52" s="24">
        <f aca="true" t="shared" si="7" ref="E52:AD52">E51-E38</f>
        <v>0</v>
      </c>
      <c r="F52" s="24">
        <f t="shared" si="7"/>
        <v>0</v>
      </c>
      <c r="G52" s="24">
        <f>G51-G38</f>
        <v>0</v>
      </c>
      <c r="H52" s="24">
        <f t="shared" si="7"/>
        <v>1</v>
      </c>
      <c r="I52" s="24">
        <f t="shared" si="7"/>
        <v>1</v>
      </c>
      <c r="J52" s="24">
        <f t="shared" si="7"/>
        <v>0</v>
      </c>
      <c r="K52" s="24">
        <f t="shared" si="7"/>
        <v>0</v>
      </c>
      <c r="L52" s="24">
        <f t="shared" si="7"/>
        <v>0</v>
      </c>
      <c r="M52" s="24">
        <f t="shared" si="7"/>
        <v>-1</v>
      </c>
      <c r="N52" s="24">
        <f t="shared" si="7"/>
        <v>0</v>
      </c>
      <c r="O52" s="24">
        <f t="shared" si="7"/>
        <v>0</v>
      </c>
      <c r="P52" s="24">
        <f t="shared" si="7"/>
        <v>-1</v>
      </c>
      <c r="Q52" s="24">
        <f t="shared" si="7"/>
        <v>0</v>
      </c>
      <c r="R52" s="24">
        <f t="shared" si="7"/>
        <v>0</v>
      </c>
      <c r="S52" s="24">
        <f t="shared" si="7"/>
        <v>0</v>
      </c>
      <c r="T52" s="24">
        <f t="shared" si="7"/>
        <v>1</v>
      </c>
      <c r="U52" s="24">
        <f t="shared" si="7"/>
        <v>0</v>
      </c>
      <c r="V52" s="24">
        <f t="shared" si="7"/>
        <v>0</v>
      </c>
      <c r="W52" s="24">
        <f t="shared" si="7"/>
        <v>0</v>
      </c>
      <c r="X52" s="24">
        <f t="shared" si="7"/>
        <v>0</v>
      </c>
      <c r="Y52" s="24">
        <f t="shared" si="7"/>
        <v>0</v>
      </c>
      <c r="Z52" s="24">
        <f t="shared" si="7"/>
        <v>0</v>
      </c>
      <c r="AA52" s="24">
        <f t="shared" si="7"/>
        <v>1</v>
      </c>
      <c r="AB52" s="24">
        <f t="shared" si="7"/>
        <v>0</v>
      </c>
      <c r="AC52" s="24">
        <f t="shared" si="7"/>
        <v>0</v>
      </c>
      <c r="AD52" s="24">
        <f t="shared" si="7"/>
        <v>1</v>
      </c>
    </row>
    <row r="89" ht="12.75">
      <c r="AI89" s="207"/>
    </row>
    <row r="106" ht="12.75">
      <c r="AI106" s="207"/>
    </row>
    <row r="123" spans="19:35" ht="12.75">
      <c r="S123" s="207"/>
      <c r="AI123" s="207"/>
    </row>
  </sheetData>
  <printOptions/>
  <pageMargins left="0.75" right="0.75" top="1" bottom="1" header="0.5" footer="0.5"/>
  <pageSetup horizontalDpi="600" verticalDpi="600" orientation="portrait" paperSize="9" r:id="rId4"/>
  <drawing r:id="rId3"/>
  <legacyDrawing r:id="rId2"/>
</worksheet>
</file>

<file path=xl/worksheets/sheet31.xml><?xml version="1.0" encoding="utf-8"?>
<worksheet xmlns="http://schemas.openxmlformats.org/spreadsheetml/2006/main" xmlns:r="http://schemas.openxmlformats.org/officeDocument/2006/relationships">
  <dimension ref="A1:J65"/>
  <sheetViews>
    <sheetView tabSelected="1" workbookViewId="0" topLeftCell="C1">
      <selection activeCell="J16" sqref="J16"/>
    </sheetView>
  </sheetViews>
  <sheetFormatPr defaultColWidth="9.140625" defaultRowHeight="12.75"/>
  <cols>
    <col min="2" max="2" width="40.8515625" style="0" customWidth="1"/>
    <col min="3" max="3" width="23.57421875" style="0" customWidth="1"/>
    <col min="4" max="4" width="11.28125" style="0" bestFit="1" customWidth="1"/>
    <col min="5" max="5" width="11.8515625" style="0" bestFit="1" customWidth="1"/>
    <col min="6" max="6" width="11.00390625" style="0" bestFit="1" customWidth="1"/>
    <col min="7" max="7" width="11.140625" style="0" bestFit="1" customWidth="1"/>
    <col min="8" max="8" width="15.28125" style="0" bestFit="1" customWidth="1"/>
  </cols>
  <sheetData>
    <row r="1" ht="12.75">
      <c r="B1" s="109" t="s">
        <v>126</v>
      </c>
    </row>
    <row r="2" ht="12.75">
      <c r="B2" t="s">
        <v>269</v>
      </c>
    </row>
    <row r="3" spans="1:2" ht="12.75">
      <c r="A3" s="109">
        <v>1</v>
      </c>
      <c r="B3" t="s">
        <v>124</v>
      </c>
    </row>
    <row r="4" spans="1:2" ht="12.75">
      <c r="A4" s="109">
        <v>2</v>
      </c>
      <c r="B4" t="s">
        <v>131</v>
      </c>
    </row>
    <row r="5" spans="1:2" ht="12.75">
      <c r="A5" s="109">
        <v>3</v>
      </c>
      <c r="B5" t="s">
        <v>256</v>
      </c>
    </row>
    <row r="6" spans="1:2" ht="12.75">
      <c r="A6" s="109">
        <v>4</v>
      </c>
      <c r="B6" t="s">
        <v>133</v>
      </c>
    </row>
    <row r="7" ht="12.75">
      <c r="A7" s="109"/>
    </row>
    <row r="8" spans="1:2" ht="12.75">
      <c r="A8" s="109">
        <v>5</v>
      </c>
      <c r="B8" t="s">
        <v>134</v>
      </c>
    </row>
    <row r="9" spans="1:2" ht="12.75">
      <c r="A9" s="109"/>
      <c r="B9" t="s">
        <v>264</v>
      </c>
    </row>
    <row r="10" spans="1:2" ht="12.75">
      <c r="A10" s="109"/>
      <c r="B10" s="111" t="s">
        <v>272</v>
      </c>
    </row>
    <row r="11" ht="12.75">
      <c r="A11" s="109"/>
    </row>
    <row r="12" spans="1:2" ht="12.75">
      <c r="A12" s="109">
        <v>6</v>
      </c>
      <c r="B12" t="s">
        <v>127</v>
      </c>
    </row>
    <row r="13" spans="1:2" ht="12.75">
      <c r="A13" s="109"/>
      <c r="B13" t="s">
        <v>128</v>
      </c>
    </row>
    <row r="14" ht="12.75">
      <c r="A14" s="109"/>
    </row>
    <row r="15" spans="1:2" ht="12.75">
      <c r="A15" s="109">
        <v>7</v>
      </c>
      <c r="B15" t="s">
        <v>121</v>
      </c>
    </row>
    <row r="16" spans="1:2" ht="12.75">
      <c r="A16" s="109">
        <v>8</v>
      </c>
      <c r="B16" t="s">
        <v>129</v>
      </c>
    </row>
    <row r="17" ht="12.75">
      <c r="B17" t="s">
        <v>130</v>
      </c>
    </row>
    <row r="20" ht="12.75">
      <c r="B20" s="60"/>
    </row>
    <row r="21" ht="12.75">
      <c r="B21" s="60" t="s">
        <v>188</v>
      </c>
    </row>
    <row r="22" ht="12.75">
      <c r="B22" t="s">
        <v>189</v>
      </c>
    </row>
    <row r="23" ht="12.75">
      <c r="B23" t="s">
        <v>210</v>
      </c>
    </row>
    <row r="24" ht="13.5" thickBot="1">
      <c r="B24" t="s">
        <v>211</v>
      </c>
    </row>
    <row r="25" spans="2:8" ht="39" thickBot="1">
      <c r="B25" s="65"/>
      <c r="C25" s="92" t="s">
        <v>109</v>
      </c>
      <c r="D25" s="172" t="s">
        <v>169</v>
      </c>
      <c r="E25" s="172" t="s">
        <v>170</v>
      </c>
      <c r="F25" s="172" t="s">
        <v>171</v>
      </c>
      <c r="G25" s="172" t="s">
        <v>172</v>
      </c>
      <c r="H25" s="180" t="s">
        <v>173</v>
      </c>
    </row>
    <row r="26" spans="2:9" ht="12.75">
      <c r="B26" s="196" t="s">
        <v>103</v>
      </c>
      <c r="C26" s="197" t="s">
        <v>4</v>
      </c>
      <c r="D26" s="181" t="s">
        <v>190</v>
      </c>
      <c r="E26" s="181" t="s">
        <v>191</v>
      </c>
      <c r="F26" s="181" t="s">
        <v>192</v>
      </c>
      <c r="G26" s="182" t="s">
        <v>262</v>
      </c>
      <c r="H26" s="183" t="s">
        <v>201</v>
      </c>
      <c r="I26" t="s">
        <v>193</v>
      </c>
    </row>
    <row r="27" spans="2:8" ht="12.75">
      <c r="B27" s="69"/>
      <c r="C27" s="198" t="s">
        <v>5</v>
      </c>
      <c r="D27" s="181"/>
      <c r="E27" s="181"/>
      <c r="F27" s="181"/>
      <c r="G27" s="182"/>
      <c r="H27" s="183"/>
    </row>
    <row r="28" spans="2:8" ht="12.75">
      <c r="B28" s="70"/>
      <c r="C28" s="189" t="s">
        <v>6</v>
      </c>
      <c r="D28" s="181" t="s">
        <v>194</v>
      </c>
      <c r="E28" s="181" t="s">
        <v>195</v>
      </c>
      <c r="F28" s="181" t="s">
        <v>196</v>
      </c>
      <c r="G28" s="182" t="s">
        <v>263</v>
      </c>
      <c r="H28" s="183" t="s">
        <v>201</v>
      </c>
    </row>
    <row r="29" spans="2:8" ht="12.75">
      <c r="B29" s="71" t="s">
        <v>104</v>
      </c>
      <c r="C29" s="190" t="s">
        <v>7</v>
      </c>
      <c r="D29" s="199" t="s">
        <v>197</v>
      </c>
      <c r="E29" s="200" t="s">
        <v>198</v>
      </c>
      <c r="F29" s="200" t="s">
        <v>199</v>
      </c>
      <c r="G29" s="200" t="s">
        <v>200</v>
      </c>
      <c r="H29" s="201" t="s">
        <v>201</v>
      </c>
    </row>
    <row r="30" spans="2:8" ht="12.75">
      <c r="B30" s="71"/>
      <c r="C30" s="190" t="s">
        <v>8</v>
      </c>
      <c r="D30" s="202" t="s">
        <v>174</v>
      </c>
      <c r="E30" s="181" t="s">
        <v>175</v>
      </c>
      <c r="F30" s="181" t="s">
        <v>176</v>
      </c>
      <c r="G30" s="181" t="s">
        <v>177</v>
      </c>
      <c r="H30" s="183" t="s">
        <v>201</v>
      </c>
    </row>
    <row r="31" spans="2:8" ht="12.75">
      <c r="B31" s="71"/>
      <c r="C31" s="118" t="s">
        <v>9</v>
      </c>
      <c r="D31" s="202" t="s">
        <v>202</v>
      </c>
      <c r="E31" s="181" t="s">
        <v>203</v>
      </c>
      <c r="F31" s="181" t="s">
        <v>178</v>
      </c>
      <c r="G31" s="181" t="s">
        <v>179</v>
      </c>
      <c r="H31" s="183" t="s">
        <v>201</v>
      </c>
    </row>
    <row r="32" spans="2:9" ht="12.75">
      <c r="B32" s="173"/>
      <c r="C32" s="191" t="s">
        <v>10</v>
      </c>
      <c r="D32" s="203"/>
      <c r="E32" s="184"/>
      <c r="F32" s="184"/>
      <c r="G32" s="184"/>
      <c r="H32" s="185"/>
      <c r="I32" s="174"/>
    </row>
    <row r="33" spans="2:9" ht="12.75">
      <c r="B33" s="175"/>
      <c r="C33" s="192" t="s">
        <v>253</v>
      </c>
      <c r="D33" s="204"/>
      <c r="E33" s="205"/>
      <c r="F33" s="205"/>
      <c r="G33" s="205"/>
      <c r="H33" s="206"/>
      <c r="I33" s="174"/>
    </row>
    <row r="34" spans="2:8" ht="12.75">
      <c r="B34" s="68" t="s">
        <v>105</v>
      </c>
      <c r="C34" s="193" t="s">
        <v>12</v>
      </c>
      <c r="D34" s="181" t="s">
        <v>204</v>
      </c>
      <c r="E34" s="181" t="s">
        <v>205</v>
      </c>
      <c r="F34" s="181" t="s">
        <v>206</v>
      </c>
      <c r="G34" s="181" t="s">
        <v>207</v>
      </c>
      <c r="H34" s="183" t="s">
        <v>201</v>
      </c>
    </row>
    <row r="35" spans="2:8" ht="12.75">
      <c r="B35" s="71"/>
      <c r="C35" s="190" t="s">
        <v>13</v>
      </c>
      <c r="D35" s="181" t="s">
        <v>208</v>
      </c>
      <c r="E35" s="181" t="s">
        <v>209</v>
      </c>
      <c r="F35" s="181" t="s">
        <v>180</v>
      </c>
      <c r="G35" s="181" t="s">
        <v>181</v>
      </c>
      <c r="H35" s="183" t="s">
        <v>201</v>
      </c>
    </row>
    <row r="36" spans="2:9" ht="12.75">
      <c r="B36" s="175"/>
      <c r="C36" s="194" t="s">
        <v>14</v>
      </c>
      <c r="D36" s="184"/>
      <c r="E36" s="184"/>
      <c r="F36" s="184"/>
      <c r="G36" s="184"/>
      <c r="H36" s="185"/>
      <c r="I36" s="174"/>
    </row>
    <row r="37" spans="2:8" ht="12.75">
      <c r="B37" s="208" t="s">
        <v>267</v>
      </c>
      <c r="C37" s="8" t="s">
        <v>268</v>
      </c>
      <c r="D37" s="199" t="s">
        <v>212</v>
      </c>
      <c r="E37" s="200" t="s">
        <v>182</v>
      </c>
      <c r="F37" s="200" t="s">
        <v>183</v>
      </c>
      <c r="G37" s="200" t="s">
        <v>184</v>
      </c>
      <c r="H37" s="201" t="s">
        <v>185</v>
      </c>
    </row>
    <row r="38" spans="2:10" ht="12.75">
      <c r="B38" s="72"/>
      <c r="C38" s="95"/>
      <c r="D38" s="204"/>
      <c r="E38" s="205"/>
      <c r="F38" s="205"/>
      <c r="G38" s="205"/>
      <c r="H38" s="206"/>
      <c r="I38" s="174"/>
      <c r="J38" s="174"/>
    </row>
    <row r="39" spans="2:8" ht="12.75">
      <c r="B39" s="73" t="s">
        <v>107</v>
      </c>
      <c r="C39" s="122" t="s">
        <v>17</v>
      </c>
      <c r="D39" s="181" t="s">
        <v>186</v>
      </c>
      <c r="E39" s="181" t="s">
        <v>187</v>
      </c>
      <c r="F39" s="181" t="s">
        <v>179</v>
      </c>
      <c r="G39" s="182" t="s">
        <v>260</v>
      </c>
      <c r="H39" s="183" t="s">
        <v>201</v>
      </c>
    </row>
    <row r="40" spans="2:8" ht="12.75">
      <c r="B40" s="74"/>
      <c r="C40" s="195" t="s">
        <v>18</v>
      </c>
      <c r="D40" s="181" t="s">
        <v>208</v>
      </c>
      <c r="E40" s="181" t="s">
        <v>213</v>
      </c>
      <c r="F40" s="181" t="s">
        <v>209</v>
      </c>
      <c r="G40" s="182" t="s">
        <v>261</v>
      </c>
      <c r="H40" s="183" t="s">
        <v>201</v>
      </c>
    </row>
    <row r="41" spans="2:8" ht="12.75">
      <c r="B41" s="71" t="s">
        <v>106</v>
      </c>
      <c r="C41" s="118" t="s">
        <v>19</v>
      </c>
      <c r="D41" s="199" t="s">
        <v>214</v>
      </c>
      <c r="E41" s="200" t="s">
        <v>208</v>
      </c>
      <c r="F41" s="200" t="s">
        <v>209</v>
      </c>
      <c r="G41" s="200" t="s">
        <v>215</v>
      </c>
      <c r="H41" s="201" t="s">
        <v>201</v>
      </c>
    </row>
    <row r="42" spans="2:9" ht="12.75">
      <c r="B42" s="175"/>
      <c r="C42" s="194" t="s">
        <v>122</v>
      </c>
      <c r="D42" s="204"/>
      <c r="E42" s="205"/>
      <c r="F42" s="205"/>
      <c r="G42" s="205"/>
      <c r="H42" s="206"/>
      <c r="I42" s="174"/>
    </row>
    <row r="43" spans="2:10" ht="12.75">
      <c r="B43" s="71" t="s">
        <v>112</v>
      </c>
      <c r="C43" s="118" t="s">
        <v>21</v>
      </c>
      <c r="D43" s="181" t="s">
        <v>234</v>
      </c>
      <c r="E43" s="181"/>
      <c r="F43" s="181"/>
      <c r="G43" s="39"/>
      <c r="H43" s="183" t="s">
        <v>216</v>
      </c>
      <c r="I43" t="s">
        <v>254</v>
      </c>
      <c r="J43" s="136"/>
    </row>
    <row r="44" spans="2:10" ht="12.75">
      <c r="B44" s="73" t="s">
        <v>111</v>
      </c>
      <c r="C44" s="122" t="s">
        <v>22</v>
      </c>
      <c r="D44" s="181" t="s">
        <v>235</v>
      </c>
      <c r="E44" s="181"/>
      <c r="F44" s="181"/>
      <c r="G44" s="39"/>
      <c r="H44" s="183" t="s">
        <v>217</v>
      </c>
      <c r="J44" s="137"/>
    </row>
    <row r="45" spans="2:10" ht="12.75">
      <c r="B45" s="73"/>
      <c r="C45" s="122" t="s">
        <v>23</v>
      </c>
      <c r="D45" s="181" t="s">
        <v>236</v>
      </c>
      <c r="E45" s="181"/>
      <c r="F45" s="181"/>
      <c r="G45" s="39"/>
      <c r="H45" s="183" t="s">
        <v>218</v>
      </c>
      <c r="J45" s="137"/>
    </row>
    <row r="46" spans="2:10" ht="12.75">
      <c r="B46" s="73"/>
      <c r="C46" s="122" t="s">
        <v>24</v>
      </c>
      <c r="D46" s="181" t="s">
        <v>237</v>
      </c>
      <c r="E46" s="181"/>
      <c r="F46" s="181"/>
      <c r="G46" s="39"/>
      <c r="H46" s="183" t="s">
        <v>219</v>
      </c>
      <c r="J46" s="137"/>
    </row>
    <row r="47" spans="2:8" ht="12.75">
      <c r="B47" s="71"/>
      <c r="C47" s="122"/>
      <c r="D47" s="181"/>
      <c r="E47" s="181"/>
      <c r="F47" s="181"/>
      <c r="G47" s="39"/>
      <c r="H47" s="183"/>
    </row>
    <row r="48" spans="2:10" ht="12.75">
      <c r="B48" s="71"/>
      <c r="C48" s="122" t="s">
        <v>28</v>
      </c>
      <c r="D48" s="181" t="s">
        <v>238</v>
      </c>
      <c r="E48" s="181"/>
      <c r="F48" s="181"/>
      <c r="G48" s="39"/>
      <c r="H48" s="183" t="s">
        <v>220</v>
      </c>
      <c r="J48" s="138"/>
    </row>
    <row r="49" spans="2:10" ht="12.75">
      <c r="B49" s="73"/>
      <c r="C49" s="122" t="s">
        <v>29</v>
      </c>
      <c r="D49" s="181" t="s">
        <v>239</v>
      </c>
      <c r="E49" s="181"/>
      <c r="F49" s="181"/>
      <c r="G49" s="39"/>
      <c r="H49" s="183" t="s">
        <v>221</v>
      </c>
      <c r="J49" s="138"/>
    </row>
    <row r="50" spans="2:10" ht="12.75">
      <c r="B50" s="73"/>
      <c r="C50" s="122" t="s">
        <v>30</v>
      </c>
      <c r="D50" s="181" t="s">
        <v>240</v>
      </c>
      <c r="E50" s="181"/>
      <c r="F50" s="181"/>
      <c r="G50" s="39"/>
      <c r="H50" s="183" t="s">
        <v>222</v>
      </c>
      <c r="J50" s="138"/>
    </row>
    <row r="51" spans="2:10" ht="12.75">
      <c r="B51" s="127"/>
      <c r="C51" s="128" t="s">
        <v>31</v>
      </c>
      <c r="D51" s="181" t="s">
        <v>241</v>
      </c>
      <c r="E51" s="181"/>
      <c r="F51" s="181"/>
      <c r="G51" s="39"/>
      <c r="H51" s="183" t="s">
        <v>223</v>
      </c>
      <c r="J51" s="138"/>
    </row>
    <row r="52" spans="2:10" ht="12.75">
      <c r="B52" s="73"/>
      <c r="C52" s="122" t="s">
        <v>32</v>
      </c>
      <c r="D52" s="181" t="s">
        <v>242</v>
      </c>
      <c r="E52" s="181"/>
      <c r="F52" s="181"/>
      <c r="G52" s="39"/>
      <c r="H52" s="183" t="s">
        <v>224</v>
      </c>
      <c r="J52" s="138"/>
    </row>
    <row r="53" spans="2:10" ht="12.75">
      <c r="B53" s="81"/>
      <c r="C53" s="122" t="s">
        <v>33</v>
      </c>
      <c r="D53" s="181" t="s">
        <v>243</v>
      </c>
      <c r="E53" s="181"/>
      <c r="F53" s="181"/>
      <c r="G53" s="39"/>
      <c r="H53" s="183" t="s">
        <v>225</v>
      </c>
      <c r="J53" s="138"/>
    </row>
    <row r="54" spans="2:10" ht="12.75">
      <c r="B54" s="81"/>
      <c r="C54" s="122" t="s">
        <v>34</v>
      </c>
      <c r="D54" s="181" t="s">
        <v>244</v>
      </c>
      <c r="E54" s="181"/>
      <c r="F54" s="181"/>
      <c r="G54" s="39"/>
      <c r="H54" s="183" t="s">
        <v>226</v>
      </c>
      <c r="J54" s="138"/>
    </row>
    <row r="55" spans="2:10" ht="12.75">
      <c r="B55" s="81"/>
      <c r="C55" s="122" t="s">
        <v>35</v>
      </c>
      <c r="D55" s="181" t="s">
        <v>245</v>
      </c>
      <c r="E55" s="181"/>
      <c r="F55" s="181"/>
      <c r="G55" s="39"/>
      <c r="H55" s="183" t="s">
        <v>227</v>
      </c>
      <c r="J55" s="138"/>
    </row>
    <row r="56" spans="2:10" ht="12.75">
      <c r="B56" s="81"/>
      <c r="C56" s="122" t="s">
        <v>36</v>
      </c>
      <c r="D56" s="181" t="s">
        <v>246</v>
      </c>
      <c r="E56" s="181"/>
      <c r="F56" s="181"/>
      <c r="G56" s="39"/>
      <c r="H56" s="183" t="s">
        <v>228</v>
      </c>
      <c r="J56" s="138"/>
    </row>
    <row r="57" spans="2:10" ht="12.75">
      <c r="B57" s="81"/>
      <c r="C57" s="122" t="s">
        <v>37</v>
      </c>
      <c r="D57" s="181" t="s">
        <v>246</v>
      </c>
      <c r="E57" s="181"/>
      <c r="F57" s="181"/>
      <c r="G57" s="39"/>
      <c r="H57" s="183" t="s">
        <v>228</v>
      </c>
      <c r="J57" s="138"/>
    </row>
    <row r="58" spans="2:10" ht="12.75">
      <c r="B58" s="81"/>
      <c r="C58" s="122" t="s">
        <v>38</v>
      </c>
      <c r="D58" s="181" t="s">
        <v>247</v>
      </c>
      <c r="E58" s="181"/>
      <c r="F58" s="181"/>
      <c r="G58" s="39"/>
      <c r="H58" s="183" t="s">
        <v>229</v>
      </c>
      <c r="J58" s="138"/>
    </row>
    <row r="59" spans="2:10" ht="12.75">
      <c r="B59" s="81"/>
      <c r="C59" s="122" t="s">
        <v>39</v>
      </c>
      <c r="D59" s="181" t="s">
        <v>248</v>
      </c>
      <c r="E59" s="181"/>
      <c r="F59" s="181"/>
      <c r="G59" s="39"/>
      <c r="H59" s="183" t="s">
        <v>230</v>
      </c>
      <c r="J59" s="176"/>
    </row>
    <row r="60" spans="2:10" ht="12.75">
      <c r="B60" s="177"/>
      <c r="C60" s="178" t="s">
        <v>40</v>
      </c>
      <c r="D60" s="181"/>
      <c r="E60" s="184"/>
      <c r="F60" s="184"/>
      <c r="G60" s="186"/>
      <c r="H60" s="185"/>
      <c r="J60" s="138"/>
    </row>
    <row r="61" spans="2:10" ht="12.75">
      <c r="B61" s="81"/>
      <c r="C61" s="122" t="s">
        <v>41</v>
      </c>
      <c r="D61" s="181" t="s">
        <v>249</v>
      </c>
      <c r="E61" s="181"/>
      <c r="F61" s="181"/>
      <c r="G61" s="39"/>
      <c r="H61" s="183" t="s">
        <v>231</v>
      </c>
      <c r="J61" s="138"/>
    </row>
    <row r="62" spans="2:10" ht="12.75">
      <c r="B62" s="127"/>
      <c r="C62" s="128" t="s">
        <v>42</v>
      </c>
      <c r="D62" s="181" t="s">
        <v>250</v>
      </c>
      <c r="E62" s="181"/>
      <c r="F62" s="181"/>
      <c r="G62" s="39"/>
      <c r="H62" s="183" t="s">
        <v>232</v>
      </c>
      <c r="J62" s="138"/>
    </row>
    <row r="63" spans="2:10" ht="12.75">
      <c r="B63" s="127"/>
      <c r="C63" s="131" t="s">
        <v>43</v>
      </c>
      <c r="D63" s="181" t="s">
        <v>251</v>
      </c>
      <c r="E63" s="181"/>
      <c r="F63" s="181"/>
      <c r="G63" s="39"/>
      <c r="H63" s="183" t="s">
        <v>233</v>
      </c>
      <c r="J63" s="176"/>
    </row>
    <row r="64" spans="2:10" ht="12.75">
      <c r="B64" s="177"/>
      <c r="C64" s="178" t="s">
        <v>44</v>
      </c>
      <c r="D64" s="181" t="s">
        <v>252</v>
      </c>
      <c r="E64" s="184"/>
      <c r="F64" s="184"/>
      <c r="G64" s="184"/>
      <c r="H64" s="185" t="s">
        <v>252</v>
      </c>
      <c r="I64" s="174"/>
      <c r="J64" s="174"/>
    </row>
    <row r="65" spans="2:8" ht="13.5" thickBot="1">
      <c r="B65" s="83"/>
      <c r="C65" s="133"/>
      <c r="D65" s="187"/>
      <c r="E65" s="187"/>
      <c r="F65" s="187"/>
      <c r="G65" s="187"/>
      <c r="H65" s="188"/>
    </row>
  </sheetData>
  <printOptions/>
  <pageMargins left="0.75" right="0.75" top="1" bottom="1" header="0.5" footer="0.5"/>
  <pageSetup horizontalDpi="600" verticalDpi="600" orientation="portrait" paperSize="133" r:id="rId1"/>
</worksheet>
</file>

<file path=xl/worksheets/sheet4.xml><?xml version="1.0" encoding="utf-8"?>
<worksheet xmlns="http://schemas.openxmlformats.org/spreadsheetml/2006/main" xmlns:r="http://schemas.openxmlformats.org/officeDocument/2006/relationships">
  <dimension ref="B1:AQ42"/>
  <sheetViews>
    <sheetView workbookViewId="0" topLeftCell="A1">
      <selection activeCell="B3" sqref="B3:L23"/>
    </sheetView>
  </sheetViews>
  <sheetFormatPr defaultColWidth="9.140625" defaultRowHeight="12.75"/>
  <cols>
    <col min="3" max="3" width="28.7109375" style="0" bestFit="1" customWidth="1"/>
    <col min="14" max="14" width="34.140625" style="0" customWidth="1"/>
    <col min="16" max="16" width="33.57421875" style="0" customWidth="1"/>
    <col min="17" max="17" width="14.421875" style="0" bestFit="1" customWidth="1"/>
  </cols>
  <sheetData>
    <row r="1" spans="2:15" ht="15.75">
      <c r="B1" s="107" t="s">
        <v>162</v>
      </c>
      <c r="O1" s="109" t="s">
        <v>125</v>
      </c>
    </row>
    <row r="2" spans="12:39" ht="13.5" thickBot="1">
      <c r="L2" s="60"/>
      <c r="N2" s="116" t="s">
        <v>84</v>
      </c>
      <c r="O2" s="110"/>
      <c r="P2" t="s">
        <v>84</v>
      </c>
      <c r="Q2" t="s">
        <v>67</v>
      </c>
      <c r="R2" t="s">
        <v>67</v>
      </c>
      <c r="S2" t="s">
        <v>67</v>
      </c>
      <c r="T2" t="s">
        <v>67</v>
      </c>
      <c r="U2" t="s">
        <v>67</v>
      </c>
      <c r="V2" t="s">
        <v>67</v>
      </c>
      <c r="W2" t="s">
        <v>67</v>
      </c>
      <c r="X2" t="s">
        <v>67</v>
      </c>
      <c r="Y2" t="s">
        <v>67</v>
      </c>
      <c r="Z2" t="s">
        <v>67</v>
      </c>
      <c r="AA2" t="s">
        <v>67</v>
      </c>
      <c r="AB2" t="s">
        <v>67</v>
      </c>
      <c r="AC2" t="s">
        <v>67</v>
      </c>
      <c r="AD2" t="s">
        <v>67</v>
      </c>
      <c r="AE2" t="s">
        <v>67</v>
      </c>
      <c r="AF2" t="s">
        <v>67</v>
      </c>
      <c r="AG2" t="s">
        <v>67</v>
      </c>
      <c r="AH2" t="s">
        <v>67</v>
      </c>
      <c r="AI2" t="s">
        <v>67</v>
      </c>
      <c r="AJ2" t="s">
        <v>67</v>
      </c>
      <c r="AK2" t="s">
        <v>67</v>
      </c>
      <c r="AL2" t="s">
        <v>67</v>
      </c>
      <c r="AM2" t="s">
        <v>67</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36832.39166666667</v>
      </c>
      <c r="R3" s="64">
        <v>36921.413194444445</v>
      </c>
      <c r="S3" s="64">
        <v>37012.37152777778</v>
      </c>
      <c r="T3" s="64">
        <v>37109.37847222222</v>
      </c>
      <c r="U3" s="64">
        <v>37223.37152777778</v>
      </c>
      <c r="V3" s="64">
        <v>37384.40277777778</v>
      </c>
      <c r="W3" s="64">
        <v>37475.395833333336</v>
      </c>
      <c r="X3" s="64">
        <v>37587.39236111111</v>
      </c>
      <c r="Y3" s="64">
        <v>37649.39236111111</v>
      </c>
      <c r="Z3" s="64">
        <v>37747.385416666664</v>
      </c>
      <c r="AA3" s="64">
        <v>37838.416666666664</v>
      </c>
      <c r="AB3" s="64">
        <v>37951.395833333336</v>
      </c>
      <c r="AC3" s="64">
        <v>38028.40625</v>
      </c>
      <c r="AD3" s="64">
        <v>38112.395833333336</v>
      </c>
      <c r="AE3" s="64">
        <v>38203.37569444445</v>
      </c>
      <c r="AF3" s="64">
        <v>38336.375</v>
      </c>
      <c r="AG3" s="64">
        <v>38393.711805555555</v>
      </c>
      <c r="AH3" s="64">
        <v>38478.42013888889</v>
      </c>
      <c r="AI3" s="64">
        <v>38594.42083333333</v>
      </c>
      <c r="AJ3" s="64">
        <v>38681.569444444445</v>
      </c>
      <c r="AK3" s="64">
        <v>38777.402083333334</v>
      </c>
      <c r="AL3" s="64">
        <v>38870.38888888889</v>
      </c>
      <c r="AM3" s="64">
        <v>38961.395833333336</v>
      </c>
      <c r="AO3" s="64"/>
      <c r="AP3" s="64"/>
      <c r="AQ3" s="64"/>
    </row>
    <row r="4" spans="2:39" ht="12.75">
      <c r="B4" s="68" t="s">
        <v>103</v>
      </c>
      <c r="C4" s="93" t="s">
        <v>4</v>
      </c>
      <c r="D4" s="81">
        <f>COUNT(Q4:EC4)</f>
        <v>20</v>
      </c>
      <c r="E4" s="82">
        <f>AVERAGE(Q4:EC4)</f>
        <v>0.09079999999999996</v>
      </c>
      <c r="F4" s="82">
        <f aca="true" t="shared" si="0" ref="F4:F15">CONFIDENCE(0.05,G4,D4)</f>
        <v>0.03923449164941081</v>
      </c>
      <c r="G4" s="82">
        <f>STDEV(Q4:EC4)</f>
        <v>0.08952306377335635</v>
      </c>
      <c r="H4" s="82">
        <f>QUARTILE(Q4:EC4,2)</f>
        <v>0.046</v>
      </c>
      <c r="I4" s="82">
        <f>MIN(Q4:EC4)</f>
        <v>0.002</v>
      </c>
      <c r="J4" s="82">
        <f>MAX(Q4:EC4)</f>
        <v>0.29</v>
      </c>
      <c r="K4" s="82">
        <f>PERCENTILE(Q4:EC4,0.95)</f>
        <v>0.23300000000000004</v>
      </c>
      <c r="L4" s="102" t="str">
        <f>IF((H4+H5)&lt;0.08,"A",IF((H4+H5)&lt;0.12,"B",IF((H4+H5)&lt;0.295,"C",IF((H4+H5)&lt;0.444,"D","E"))))</f>
        <v>A</v>
      </c>
      <c r="N4" s="116" t="s">
        <v>86</v>
      </c>
      <c r="O4" s="108"/>
      <c r="P4" t="s">
        <v>86</v>
      </c>
      <c r="R4">
        <v>0.02</v>
      </c>
      <c r="S4">
        <v>0.02</v>
      </c>
      <c r="V4">
        <v>0.032</v>
      </c>
      <c r="W4">
        <v>0.15</v>
      </c>
      <c r="X4">
        <v>0.057</v>
      </c>
      <c r="Y4">
        <v>0.021</v>
      </c>
      <c r="Z4">
        <v>0.1</v>
      </c>
      <c r="AA4">
        <v>0.13</v>
      </c>
      <c r="AB4">
        <v>0.02</v>
      </c>
      <c r="AC4">
        <v>0.15</v>
      </c>
      <c r="AD4">
        <v>0.21</v>
      </c>
      <c r="AE4">
        <v>0.29</v>
      </c>
      <c r="AF4">
        <v>0.035</v>
      </c>
      <c r="AG4">
        <v>0.007</v>
      </c>
      <c r="AH4">
        <v>0.005</v>
      </c>
      <c r="AI4">
        <v>0.23</v>
      </c>
      <c r="AJ4">
        <v>0.007</v>
      </c>
      <c r="AK4">
        <v>0.002</v>
      </c>
      <c r="AL4">
        <v>0.2</v>
      </c>
      <c r="AM4">
        <v>0.13</v>
      </c>
    </row>
    <row r="5" spans="2:39" ht="12.75">
      <c r="B5" s="69"/>
      <c r="C5" s="5" t="s">
        <v>5</v>
      </c>
      <c r="D5" s="73">
        <f>COUNT(Q5:EC5)</f>
        <v>18</v>
      </c>
      <c r="E5" s="112">
        <f>AVERAGE(Q5:EC5)</f>
        <v>0.007500000000000002</v>
      </c>
      <c r="F5" s="112">
        <f t="shared" si="0"/>
        <v>0.0034470508251925667</v>
      </c>
      <c r="G5" s="112">
        <f>STDEV(Q5:EC5)</f>
        <v>0.007461666743311129</v>
      </c>
      <c r="H5" s="112">
        <f>QUARTILE(Q5:EC5,2)</f>
        <v>0.005</v>
      </c>
      <c r="I5" s="112">
        <f>MIN(Q5:EC5)</f>
        <v>0.005</v>
      </c>
      <c r="J5" s="112">
        <f>MAX(Q5:EC5)</f>
        <v>0.036</v>
      </c>
      <c r="K5" s="112">
        <f>PERCENTILE(Q5:EC5,0.95)</f>
        <v>0.015599999999999966</v>
      </c>
      <c r="L5" s="102"/>
      <c r="N5" s="116" t="s">
        <v>87</v>
      </c>
      <c r="O5" s="108"/>
      <c r="P5" t="s">
        <v>87</v>
      </c>
      <c r="V5">
        <v>0.005</v>
      </c>
      <c r="W5">
        <v>0.012</v>
      </c>
      <c r="X5">
        <v>0.036</v>
      </c>
      <c r="Y5">
        <v>0.005</v>
      </c>
      <c r="Z5">
        <v>0.005</v>
      </c>
      <c r="AA5">
        <v>0.005</v>
      </c>
      <c r="AB5">
        <v>0.005</v>
      </c>
      <c r="AC5">
        <v>0.012</v>
      </c>
      <c r="AD5">
        <v>0.005</v>
      </c>
      <c r="AE5">
        <v>0.005</v>
      </c>
      <c r="AF5">
        <v>0.005</v>
      </c>
      <c r="AG5">
        <v>0.005</v>
      </c>
      <c r="AH5">
        <v>0.005</v>
      </c>
      <c r="AI5">
        <v>0.005</v>
      </c>
      <c r="AJ5">
        <v>0.005</v>
      </c>
      <c r="AK5">
        <v>0.005</v>
      </c>
      <c r="AL5">
        <v>0.005</v>
      </c>
      <c r="AM5">
        <v>0.005</v>
      </c>
    </row>
    <row r="6" spans="2:39" ht="12.75">
      <c r="B6" s="70"/>
      <c r="C6" s="94" t="s">
        <v>6</v>
      </c>
      <c r="D6" s="73">
        <f>COUNT(Q6:EC6)</f>
        <v>23</v>
      </c>
      <c r="E6" s="112">
        <f>AVERAGE(Q6:EC6)</f>
        <v>0.005739130434782609</v>
      </c>
      <c r="F6" s="112">
        <f t="shared" si="0"/>
        <v>0.0006660526322060531</v>
      </c>
      <c r="G6" s="112">
        <f>STDEV(Q6:EC6)</f>
        <v>0.001629762707333015</v>
      </c>
      <c r="H6" s="112">
        <f>QUARTILE(Q6:EC6,2)</f>
        <v>0.005</v>
      </c>
      <c r="I6" s="112">
        <f>MIN(Q6:EC6)</f>
        <v>0.002</v>
      </c>
      <c r="J6" s="112">
        <f>MAX(Q6:EC6)</f>
        <v>0.009</v>
      </c>
      <c r="K6" s="112">
        <f>PERCENTILE(Q6:EC6,0.95)</f>
        <v>0.008</v>
      </c>
      <c r="L6" s="102" t="str">
        <f>IF((H6)&lt;0.005,"A",IF((H6)&lt;0.008,"B",IF((H6)&lt;0.026,"C",IF((H6)&lt;0.05,"D","E"))))</f>
        <v>B</v>
      </c>
      <c r="N6" s="116" t="s">
        <v>88</v>
      </c>
      <c r="O6" s="108"/>
      <c r="P6" t="s">
        <v>88</v>
      </c>
      <c r="Q6">
        <v>0.006</v>
      </c>
      <c r="R6">
        <v>0.005</v>
      </c>
      <c r="S6">
        <v>0.008</v>
      </c>
      <c r="T6">
        <v>0.005</v>
      </c>
      <c r="U6">
        <v>0.008</v>
      </c>
      <c r="V6">
        <v>0.005</v>
      </c>
      <c r="W6">
        <v>0.005</v>
      </c>
      <c r="X6">
        <v>0.007</v>
      </c>
      <c r="Y6">
        <v>0.006</v>
      </c>
      <c r="Z6">
        <v>0.005</v>
      </c>
      <c r="AA6">
        <v>0.007</v>
      </c>
      <c r="AB6">
        <v>0.005</v>
      </c>
      <c r="AC6">
        <v>0.008</v>
      </c>
      <c r="AD6">
        <v>0.007</v>
      </c>
      <c r="AE6">
        <v>0.009</v>
      </c>
      <c r="AF6">
        <v>0.004</v>
      </c>
      <c r="AG6">
        <v>0.005</v>
      </c>
      <c r="AH6">
        <v>0.006</v>
      </c>
      <c r="AI6">
        <v>0.006</v>
      </c>
      <c r="AJ6">
        <v>0.004</v>
      </c>
      <c r="AK6">
        <v>0.002</v>
      </c>
      <c r="AL6">
        <v>0.005</v>
      </c>
      <c r="AM6">
        <v>0.004</v>
      </c>
    </row>
    <row r="7" spans="2:39" ht="12.75">
      <c r="B7" s="71" t="s">
        <v>104</v>
      </c>
      <c r="C7" s="6" t="s">
        <v>7</v>
      </c>
      <c r="D7" s="86">
        <f>COUNT(Q7:EC7)</f>
        <v>23</v>
      </c>
      <c r="E7" s="113">
        <f>AVERAGE(Q7:EC7)</f>
        <v>7.825652173913045</v>
      </c>
      <c r="F7" s="113">
        <f t="shared" si="0"/>
        <v>0.12929390720804165</v>
      </c>
      <c r="G7" s="113">
        <f>STDEV(Q7:EC7)</f>
        <v>0.31636897455853424</v>
      </c>
      <c r="H7" s="113">
        <f>QUARTILE(Q7:EC7,2)</f>
        <v>7.9</v>
      </c>
      <c r="I7" s="113">
        <f>MIN(Q7:EC7)</f>
        <v>7.33</v>
      </c>
      <c r="J7" s="113">
        <f>MAX(Q7:EC7)</f>
        <v>8.59</v>
      </c>
      <c r="K7" s="113">
        <f>PERCENTILE(Q7:EC7,0.95)</f>
        <v>8.16</v>
      </c>
      <c r="L7" s="103" t="str">
        <f>IF(AND(7.2&lt;H7,H7&lt;9),"A",IF(AND(7.2&lt;=H7,H7&lt;=9),"B",IF(AND(6.5&lt;=H7,H7&lt;=9),"C",IF(AND(6.5&lt;=H7,H7&lt;=10),"D","E"))))</f>
        <v>A</v>
      </c>
      <c r="N7" s="116" t="s">
        <v>89</v>
      </c>
      <c r="O7" s="108"/>
      <c r="P7" t="s">
        <v>89</v>
      </c>
      <c r="Q7">
        <v>8.16</v>
      </c>
      <c r="R7">
        <v>7.58</v>
      </c>
      <c r="S7">
        <v>8.01</v>
      </c>
      <c r="T7">
        <v>7.5</v>
      </c>
      <c r="U7">
        <v>7.39</v>
      </c>
      <c r="V7">
        <v>8.01</v>
      </c>
      <c r="W7">
        <v>8.12</v>
      </c>
      <c r="X7">
        <v>8.07</v>
      </c>
      <c r="Y7">
        <v>7.91</v>
      </c>
      <c r="Z7">
        <v>7.9</v>
      </c>
      <c r="AA7">
        <v>7.78</v>
      </c>
      <c r="AB7">
        <v>7.98</v>
      </c>
      <c r="AC7">
        <v>7.49</v>
      </c>
      <c r="AD7">
        <v>7.41</v>
      </c>
      <c r="AE7">
        <v>7.72</v>
      </c>
      <c r="AF7">
        <v>7.65</v>
      </c>
      <c r="AG7">
        <v>8.59</v>
      </c>
      <c r="AH7">
        <v>7.57</v>
      </c>
      <c r="AI7">
        <v>8.14</v>
      </c>
      <c r="AJ7">
        <v>7.62</v>
      </c>
      <c r="AK7">
        <v>7.33</v>
      </c>
      <c r="AL7">
        <v>7.9</v>
      </c>
      <c r="AM7">
        <v>8.16</v>
      </c>
    </row>
    <row r="8" spans="2:39" ht="12.75">
      <c r="B8" s="71"/>
      <c r="C8" s="6" t="s">
        <v>8</v>
      </c>
      <c r="D8" s="81">
        <f>COUNT(Q8:EC8)</f>
        <v>23</v>
      </c>
      <c r="E8" s="44">
        <f>AVERAGE(Q8:EC8)</f>
        <v>11.676086956521742</v>
      </c>
      <c r="F8" s="44">
        <f t="shared" si="0"/>
        <v>1.719090408833838</v>
      </c>
      <c r="G8" s="44">
        <f>STDEV(Q8:EC8)</f>
        <v>4.206438505575195</v>
      </c>
      <c r="H8" s="44">
        <f>QUARTILE(Q8:EC8,2)</f>
        <v>12.1</v>
      </c>
      <c r="I8" s="44">
        <f>MIN(Q8:EC8)</f>
        <v>4.2</v>
      </c>
      <c r="J8" s="44">
        <f>MAX(Q8:EC8)</f>
        <v>21.8</v>
      </c>
      <c r="K8" s="44">
        <f>PERCENTILE(Q8:EC8,0.95)</f>
        <v>16.288</v>
      </c>
      <c r="L8" s="102" t="str">
        <f>IF(H8&lt;18,"A",IF(H8&lt;20,"B",IF(H8&lt;22,"C",IF(H8&lt;25,"D","E"))))</f>
        <v>A</v>
      </c>
      <c r="N8" s="116" t="s">
        <v>90</v>
      </c>
      <c r="O8" s="108"/>
      <c r="P8" t="s">
        <v>90</v>
      </c>
      <c r="Q8">
        <v>12.1</v>
      </c>
      <c r="R8">
        <v>16.3</v>
      </c>
      <c r="S8">
        <v>12.3</v>
      </c>
      <c r="T8">
        <v>4.2</v>
      </c>
      <c r="U8">
        <v>12.2</v>
      </c>
      <c r="V8">
        <v>9.98</v>
      </c>
      <c r="W8">
        <v>8</v>
      </c>
      <c r="X8">
        <v>15.1</v>
      </c>
      <c r="Y8">
        <v>13.2</v>
      </c>
      <c r="Z8">
        <v>7.2</v>
      </c>
      <c r="AA8">
        <v>8.5</v>
      </c>
      <c r="AB8">
        <v>13.2</v>
      </c>
      <c r="AC8">
        <v>15.8</v>
      </c>
      <c r="AD8">
        <v>11.5</v>
      </c>
      <c r="AE8">
        <v>5.5</v>
      </c>
      <c r="AF8">
        <v>14.7</v>
      </c>
      <c r="AG8">
        <v>21.8</v>
      </c>
      <c r="AH8">
        <v>9.7</v>
      </c>
      <c r="AI8">
        <v>9.21</v>
      </c>
      <c r="AJ8">
        <v>16.17</v>
      </c>
      <c r="AK8">
        <v>16.18</v>
      </c>
      <c r="AL8">
        <v>6.91</v>
      </c>
      <c r="AM8">
        <v>8.8</v>
      </c>
    </row>
    <row r="9" spans="2:39" ht="12.75">
      <c r="B9" s="71"/>
      <c r="C9" s="7" t="s">
        <v>9</v>
      </c>
      <c r="D9" s="81">
        <f>COUNT(Q9:EC9)</f>
        <v>23</v>
      </c>
      <c r="E9" s="44">
        <f>AVERAGE(Q9:EC9)</f>
        <v>104.67826086956524</v>
      </c>
      <c r="F9" s="44">
        <f t="shared" si="0"/>
        <v>2.9616079963283366</v>
      </c>
      <c r="G9" s="44">
        <f>STDEV(Q9:EC9)</f>
        <v>7.2467520324459285</v>
      </c>
      <c r="H9" s="44">
        <f>QUARTILE(Q9:EC9,2)</f>
        <v>101.4</v>
      </c>
      <c r="I9" s="44">
        <f>MIN(Q9:EC9)</f>
        <v>95.8</v>
      </c>
      <c r="J9" s="44">
        <f>MAX(Q9:EC9)</f>
        <v>125.4</v>
      </c>
      <c r="K9" s="44">
        <f>PERCENTILE(Q9:EC9,0.95)</f>
        <v>116.85</v>
      </c>
      <c r="L9" s="104" t="str">
        <f>IF(AND(99&lt;=H9,H9&lt;=103),"A",IF(AND(98&lt;=H9,H9&lt;=105),"B",IF(H9&gt;90,"C",IF(H9&gt;80,"D","E"))))</f>
        <v>A</v>
      </c>
      <c r="N9" s="116" t="s">
        <v>91</v>
      </c>
      <c r="O9" s="108"/>
      <c r="P9" t="s">
        <v>91</v>
      </c>
      <c r="Q9">
        <v>100.6</v>
      </c>
      <c r="R9">
        <v>96.9</v>
      </c>
      <c r="S9">
        <v>95.8</v>
      </c>
      <c r="T9">
        <v>98.1</v>
      </c>
      <c r="U9">
        <v>100.7</v>
      </c>
      <c r="V9">
        <v>100</v>
      </c>
      <c r="W9">
        <v>110</v>
      </c>
      <c r="X9">
        <v>108.7</v>
      </c>
      <c r="Y9">
        <v>112.8</v>
      </c>
      <c r="Z9">
        <v>99</v>
      </c>
      <c r="AA9">
        <v>104.2</v>
      </c>
      <c r="AB9">
        <v>101.4</v>
      </c>
      <c r="AC9">
        <v>100.2</v>
      </c>
      <c r="AD9">
        <v>101.1</v>
      </c>
      <c r="AE9">
        <v>98.4</v>
      </c>
      <c r="AF9">
        <v>105.9</v>
      </c>
      <c r="AG9">
        <v>125.4</v>
      </c>
      <c r="AH9">
        <v>101.6</v>
      </c>
      <c r="AI9">
        <v>110.9</v>
      </c>
      <c r="AJ9">
        <v>117.3</v>
      </c>
      <c r="AK9">
        <v>109.2</v>
      </c>
      <c r="AL9">
        <v>100.6</v>
      </c>
      <c r="AM9">
        <v>108.8</v>
      </c>
    </row>
    <row r="10" spans="2:39" ht="12.75">
      <c r="B10" s="71"/>
      <c r="C10" s="6" t="s">
        <v>10</v>
      </c>
      <c r="D10" s="81">
        <f>COUNT(Q10:EC10)</f>
        <v>23</v>
      </c>
      <c r="E10" s="44">
        <f>AVERAGE(Q10:EC10)</f>
        <v>11.41130434782609</v>
      </c>
      <c r="F10" s="44">
        <f t="shared" si="0"/>
        <v>0.39277697491354363</v>
      </c>
      <c r="G10" s="44">
        <f>STDEV(Q10:EC10)</f>
        <v>0.9610851080836716</v>
      </c>
      <c r="H10" s="44">
        <f>QUARTILE(Q10:EC10,2)</f>
        <v>11.28</v>
      </c>
      <c r="I10" s="44">
        <f>MIN(Q10:EC10)</f>
        <v>9.52</v>
      </c>
      <c r="J10" s="44">
        <f>MAX(Q10:EC10)</f>
        <v>13.01</v>
      </c>
      <c r="K10" s="44">
        <f>PERCENTILE(Q10:EC10,0.95)</f>
        <v>12.767999999999999</v>
      </c>
      <c r="L10" s="102"/>
      <c r="N10" s="116" t="s">
        <v>92</v>
      </c>
      <c r="O10" s="108"/>
      <c r="P10" t="s">
        <v>92</v>
      </c>
      <c r="Q10">
        <v>10.82</v>
      </c>
      <c r="R10">
        <v>9.52</v>
      </c>
      <c r="S10">
        <v>10.27</v>
      </c>
      <c r="T10">
        <v>12.77</v>
      </c>
      <c r="U10">
        <v>10.78</v>
      </c>
      <c r="V10">
        <v>11.28</v>
      </c>
      <c r="W10">
        <v>13.01</v>
      </c>
      <c r="X10">
        <v>10.94</v>
      </c>
      <c r="Y10">
        <v>11.8</v>
      </c>
      <c r="Z10">
        <v>11.93</v>
      </c>
      <c r="AA10">
        <v>12.18</v>
      </c>
      <c r="AB10">
        <v>10.62</v>
      </c>
      <c r="AC10">
        <v>9.93</v>
      </c>
      <c r="AD10">
        <v>11.02</v>
      </c>
      <c r="AE10">
        <v>12.42</v>
      </c>
      <c r="AF10">
        <v>10.76</v>
      </c>
      <c r="AG10">
        <v>11</v>
      </c>
      <c r="AH10">
        <v>11.54</v>
      </c>
      <c r="AI10">
        <v>12.75</v>
      </c>
      <c r="AJ10">
        <v>11.52</v>
      </c>
      <c r="AK10">
        <v>10.73</v>
      </c>
      <c r="AL10">
        <v>12.24</v>
      </c>
      <c r="AM10">
        <v>12.63</v>
      </c>
    </row>
    <row r="11" spans="2:39" ht="12.75">
      <c r="B11" s="72"/>
      <c r="C11" s="95" t="s">
        <v>11</v>
      </c>
      <c r="D11" s="87">
        <f>COUNT(Q11:EC11)</f>
        <v>23</v>
      </c>
      <c r="E11" s="115">
        <f>AVERAGE(Q11:EC11)</f>
        <v>176.8</v>
      </c>
      <c r="F11" s="115">
        <f t="shared" si="0"/>
        <v>11.128259328093657</v>
      </c>
      <c r="G11" s="115">
        <f>STDEV(Q11:EC11)</f>
        <v>27.229713048933693</v>
      </c>
      <c r="H11" s="115">
        <f>QUARTILE(Q11:EC11,2)</f>
        <v>182</v>
      </c>
      <c r="I11" s="115">
        <f>MIN(Q11:EC11)</f>
        <v>116</v>
      </c>
      <c r="J11" s="115">
        <f>MAX(Q11:EC11)</f>
        <v>214.5</v>
      </c>
      <c r="K11" s="115">
        <f>PERCENTILE(Q11:EC11,0.95)</f>
        <v>212.96</v>
      </c>
      <c r="L11" s="105"/>
      <c r="N11" s="116" t="s">
        <v>93</v>
      </c>
      <c r="O11" s="108"/>
      <c r="P11" t="s">
        <v>93</v>
      </c>
      <c r="Q11">
        <v>179</v>
      </c>
      <c r="R11">
        <v>213.4</v>
      </c>
      <c r="S11">
        <v>214.5</v>
      </c>
      <c r="T11">
        <v>180.9</v>
      </c>
      <c r="U11">
        <v>128.6</v>
      </c>
      <c r="V11">
        <v>201</v>
      </c>
      <c r="W11">
        <v>177</v>
      </c>
      <c r="X11">
        <v>186</v>
      </c>
      <c r="Y11">
        <v>198</v>
      </c>
      <c r="Z11">
        <v>183</v>
      </c>
      <c r="AA11">
        <v>186</v>
      </c>
      <c r="AB11">
        <v>186</v>
      </c>
      <c r="AC11">
        <v>138</v>
      </c>
      <c r="AD11">
        <v>116</v>
      </c>
      <c r="AE11">
        <v>142</v>
      </c>
      <c r="AF11">
        <v>182</v>
      </c>
      <c r="AG11">
        <v>180</v>
      </c>
      <c r="AH11">
        <v>200</v>
      </c>
      <c r="AI11">
        <v>152</v>
      </c>
      <c r="AJ11">
        <v>199</v>
      </c>
      <c r="AK11">
        <v>209</v>
      </c>
      <c r="AL11">
        <v>157</v>
      </c>
      <c r="AM11">
        <v>158</v>
      </c>
    </row>
    <row r="12" spans="2:39" ht="12.75">
      <c r="B12" s="68" t="s">
        <v>105</v>
      </c>
      <c r="C12" s="4" t="s">
        <v>12</v>
      </c>
      <c r="D12" s="81">
        <f>COUNT(Q12:EC12)</f>
        <v>23</v>
      </c>
      <c r="E12" s="82">
        <f>AVERAGE(Q12:EC12)</f>
        <v>1.4060869565217389</v>
      </c>
      <c r="F12" s="82">
        <f t="shared" si="0"/>
        <v>0.7590515205476763</v>
      </c>
      <c r="G12" s="82">
        <f>STDEV(Q12:EC12)</f>
        <v>1.8573214807899983</v>
      </c>
      <c r="H12" s="82">
        <f>QUARTILE(Q12:EC12,2)</f>
        <v>0.78</v>
      </c>
      <c r="I12" s="82">
        <f>MIN(Q12:EC12)</f>
        <v>0.33</v>
      </c>
      <c r="J12" s="82">
        <f>MAX(Q12:EC12)</f>
        <v>8.77</v>
      </c>
      <c r="K12" s="82">
        <f>PERCENTILE(Q12:EC12,0.95)</f>
        <v>4.506999999999998</v>
      </c>
      <c r="L12" s="102" t="str">
        <f>IF(H12&lt;1,"A",IF(H12&lt;2,"B",IF(H12&lt;3,"C",IF(H12&lt;5,"D","E"))))</f>
        <v>A</v>
      </c>
      <c r="N12" s="116" t="s">
        <v>94</v>
      </c>
      <c r="O12" s="108"/>
      <c r="P12" t="s">
        <v>94</v>
      </c>
      <c r="Q12">
        <v>0.69</v>
      </c>
      <c r="R12">
        <v>1.1</v>
      </c>
      <c r="S12">
        <v>0.44</v>
      </c>
      <c r="T12">
        <v>0.33</v>
      </c>
      <c r="U12">
        <v>8.77</v>
      </c>
      <c r="V12">
        <v>0.74</v>
      </c>
      <c r="W12">
        <v>0.93</v>
      </c>
      <c r="X12">
        <v>0.65</v>
      </c>
      <c r="Y12">
        <v>0.52</v>
      </c>
      <c r="Z12">
        <v>0.98</v>
      </c>
      <c r="AA12">
        <v>0.78</v>
      </c>
      <c r="AB12">
        <v>0.63</v>
      </c>
      <c r="AC12">
        <v>4.7</v>
      </c>
      <c r="AD12">
        <v>2.77</v>
      </c>
      <c r="AE12">
        <v>1.66</v>
      </c>
      <c r="AF12">
        <v>0.55</v>
      </c>
      <c r="AG12">
        <v>0.89</v>
      </c>
      <c r="AH12">
        <v>0.7</v>
      </c>
      <c r="AI12">
        <v>1.1</v>
      </c>
      <c r="AJ12">
        <v>0.65</v>
      </c>
      <c r="AK12">
        <v>0.66</v>
      </c>
      <c r="AL12">
        <v>0.96</v>
      </c>
      <c r="AM12">
        <v>1.14</v>
      </c>
    </row>
    <row r="13" spans="2:39" ht="12.75">
      <c r="B13" s="71"/>
      <c r="C13" s="6" t="s">
        <v>13</v>
      </c>
      <c r="D13" s="81">
        <f>COUNT(Q13:EC13)</f>
        <v>23</v>
      </c>
      <c r="E13" s="44">
        <f>AVERAGE(Q13:EC13)</f>
        <v>4.817391304347827</v>
      </c>
      <c r="F13" s="44">
        <f t="shared" si="0"/>
        <v>0.8124614050567818</v>
      </c>
      <c r="G13" s="44">
        <f>STDEV(Q13:EC13)</f>
        <v>1.9880100086434165</v>
      </c>
      <c r="H13" s="44">
        <f>QUARTILE(Q13:EC13,2)</f>
        <v>5</v>
      </c>
      <c r="I13" s="44">
        <f>MIN(Q13:EC13)</f>
        <v>0.85</v>
      </c>
      <c r="J13" s="44">
        <f>MAX(Q13:EC13)</f>
        <v>8.8</v>
      </c>
      <c r="K13" s="44">
        <f>PERCENTILE(Q13:EC13,0.95)</f>
        <v>7.390000000000001</v>
      </c>
      <c r="L13" s="102" t="str">
        <f>IF(H13&gt;6,"A",IF(H13&gt;4,"B",IF(H13&gt;2.5,"C",IF(H13&gt;0.6,"D","E"))))</f>
        <v>B</v>
      </c>
      <c r="N13" s="116" t="s">
        <v>13</v>
      </c>
      <c r="O13" s="108"/>
      <c r="P13" t="s">
        <v>13</v>
      </c>
      <c r="Q13">
        <v>5.3</v>
      </c>
      <c r="R13">
        <v>1.8</v>
      </c>
      <c r="S13">
        <v>7.3</v>
      </c>
      <c r="T13">
        <v>8.8</v>
      </c>
      <c r="U13">
        <v>0.85</v>
      </c>
      <c r="V13">
        <v>6.8</v>
      </c>
      <c r="W13">
        <v>4.5</v>
      </c>
      <c r="X13">
        <v>5.7</v>
      </c>
      <c r="Y13">
        <v>4.1</v>
      </c>
      <c r="Z13">
        <v>5</v>
      </c>
      <c r="AA13">
        <v>5.5</v>
      </c>
      <c r="AB13">
        <v>6.5</v>
      </c>
      <c r="AC13">
        <v>1.7</v>
      </c>
      <c r="AD13">
        <v>2.7</v>
      </c>
      <c r="AE13">
        <v>5.2</v>
      </c>
      <c r="AF13">
        <v>4.4</v>
      </c>
      <c r="AG13">
        <v>3.3</v>
      </c>
      <c r="AH13">
        <v>7.4</v>
      </c>
      <c r="AI13">
        <v>3.1</v>
      </c>
      <c r="AJ13">
        <v>4.85</v>
      </c>
      <c r="AK13">
        <v>5.2</v>
      </c>
      <c r="AL13">
        <v>6.8</v>
      </c>
      <c r="AM13">
        <v>4</v>
      </c>
    </row>
    <row r="14" spans="2:39" ht="12.75">
      <c r="B14" s="72"/>
      <c r="C14" s="95" t="s">
        <v>14</v>
      </c>
      <c r="D14" s="87">
        <f>COUNT(Q14:EC14)</f>
        <v>22</v>
      </c>
      <c r="E14" s="115">
        <f>AVERAGE(Q14:EC14)</f>
        <v>3.390909090909091</v>
      </c>
      <c r="F14" s="115">
        <f t="shared" si="0"/>
        <v>4.650312084106021</v>
      </c>
      <c r="G14" s="115">
        <f>STDEV(Q14:EC14)</f>
        <v>11.128723415041136</v>
      </c>
      <c r="H14" s="115">
        <f>QUARTILE(Q14:EC14,2)</f>
        <v>0.8</v>
      </c>
      <c r="I14" s="115">
        <f>MIN(Q14:EC14)</f>
        <v>0.3</v>
      </c>
      <c r="J14" s="115">
        <f>MAX(Q14:EC14)</f>
        <v>53</v>
      </c>
      <c r="K14" s="115">
        <f>PERCENTILE(Q14:EC14,0.95)</f>
        <v>4.899999999999999</v>
      </c>
      <c r="L14" s="102"/>
      <c r="N14" s="116" t="s">
        <v>95</v>
      </c>
      <c r="O14" s="108"/>
      <c r="P14" t="s">
        <v>95</v>
      </c>
      <c r="Q14">
        <v>1</v>
      </c>
      <c r="R14">
        <v>1</v>
      </c>
      <c r="S14">
        <v>1</v>
      </c>
      <c r="U14">
        <v>5</v>
      </c>
      <c r="V14">
        <v>0.4</v>
      </c>
      <c r="W14">
        <v>0.5</v>
      </c>
      <c r="X14">
        <v>0.8</v>
      </c>
      <c r="Y14">
        <v>0.4</v>
      </c>
      <c r="Z14">
        <v>1</v>
      </c>
      <c r="AA14">
        <v>0.5</v>
      </c>
      <c r="AB14">
        <v>0.7</v>
      </c>
      <c r="AC14">
        <v>3</v>
      </c>
      <c r="AD14">
        <v>1</v>
      </c>
      <c r="AE14">
        <v>0.5</v>
      </c>
      <c r="AF14">
        <v>0.6</v>
      </c>
      <c r="AG14">
        <v>0.8</v>
      </c>
      <c r="AH14">
        <v>0.3</v>
      </c>
      <c r="AI14">
        <v>0.8</v>
      </c>
      <c r="AJ14">
        <v>0.7</v>
      </c>
      <c r="AK14">
        <v>0.6</v>
      </c>
      <c r="AL14">
        <v>53</v>
      </c>
      <c r="AM14">
        <v>1</v>
      </c>
    </row>
    <row r="15" spans="2:39" ht="12.75">
      <c r="B15" s="208" t="s">
        <v>267</v>
      </c>
      <c r="C15" s="8" t="s">
        <v>268</v>
      </c>
      <c r="D15" s="81">
        <f>COUNT(Q15:EC15)</f>
        <v>23</v>
      </c>
      <c r="E15" s="40">
        <f>AVERAGE(Q15:EC15)</f>
        <v>264.6521739130435</v>
      </c>
      <c r="F15" s="40">
        <f t="shared" si="0"/>
        <v>173.0241258184975</v>
      </c>
      <c r="G15" s="40">
        <f>STDEV(Q15:EC15)</f>
        <v>423.3723494101372</v>
      </c>
      <c r="H15" s="40">
        <f>QUARTILE(Q15:EC15,2)</f>
        <v>105</v>
      </c>
      <c r="I15" s="40">
        <f>MIN(Q15:EC15)</f>
        <v>10</v>
      </c>
      <c r="J15" s="40">
        <f>MAX(Q15:EC15)</f>
        <v>1600</v>
      </c>
      <c r="K15" s="40">
        <f>PERCENTILE(Q15:EC15,0.95)</f>
        <v>1329.999999999999</v>
      </c>
      <c r="L15" s="106" t="str">
        <f>IF(H15&lt;10,"A",IF(H15&lt;130,"B",IF(H15&lt;260,"C",IF(H15&lt;550,"D","E"))))</f>
        <v>B</v>
      </c>
      <c r="N15" s="116" t="s">
        <v>255</v>
      </c>
      <c r="O15" s="108"/>
      <c r="P15" t="s">
        <v>255</v>
      </c>
      <c r="Q15">
        <v>120</v>
      </c>
      <c r="R15">
        <v>190</v>
      </c>
      <c r="S15">
        <v>500</v>
      </c>
      <c r="T15">
        <v>10</v>
      </c>
      <c r="U15">
        <v>1600</v>
      </c>
      <c r="V15">
        <v>110</v>
      </c>
      <c r="W15">
        <v>55</v>
      </c>
      <c r="X15">
        <v>105</v>
      </c>
      <c r="Y15">
        <v>190</v>
      </c>
      <c r="Z15">
        <v>275</v>
      </c>
      <c r="AA15">
        <v>40</v>
      </c>
      <c r="AB15">
        <v>90</v>
      </c>
      <c r="AC15">
        <v>1400</v>
      </c>
      <c r="AD15">
        <v>135</v>
      </c>
      <c r="AE15">
        <v>20</v>
      </c>
      <c r="AF15">
        <v>72</v>
      </c>
      <c r="AG15">
        <v>65</v>
      </c>
      <c r="AH15">
        <v>35</v>
      </c>
      <c r="AI15">
        <v>700</v>
      </c>
      <c r="AJ15">
        <v>15</v>
      </c>
      <c r="AK15">
        <v>235</v>
      </c>
      <c r="AL15">
        <v>105</v>
      </c>
      <c r="AM15">
        <v>20</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122</v>
      </c>
      <c r="F17" s="44">
        <f>CONFIDENCE(0.05,G17,D17)</f>
        <v>7.807121532401051</v>
      </c>
      <c r="G17" s="44">
        <f>STDEV(Q17:EC17)</f>
        <v>9.757048734120374</v>
      </c>
      <c r="H17" s="44">
        <f>QUARTILE(Q17:EC17,2)</f>
        <v>125</v>
      </c>
      <c r="I17" s="44">
        <f>MIN(Q17:EC17)</f>
        <v>105</v>
      </c>
      <c r="J17" s="44">
        <f>MAX(Q17:EC17)</f>
        <v>134</v>
      </c>
      <c r="K17" s="44">
        <f>PERCENTILE(Q17:EC17,0.95)</f>
        <v>131.75</v>
      </c>
      <c r="L17" s="102" t="str">
        <f>IF(H17&gt;120,"A",IF(H17&gt;100,"B",IF(H17&gt;80,"C",IF(H17&gt;60,"D","E"))))</f>
        <v>A</v>
      </c>
      <c r="N17" s="116" t="s">
        <v>17</v>
      </c>
      <c r="O17" s="108"/>
      <c r="P17" t="s">
        <v>17</v>
      </c>
      <c r="Q17">
        <v>125</v>
      </c>
      <c r="U17">
        <v>125</v>
      </c>
      <c r="X17">
        <v>134</v>
      </c>
      <c r="AB17">
        <v>118</v>
      </c>
      <c r="AF17">
        <v>125</v>
      </c>
      <c r="AJ17">
        <v>105</v>
      </c>
    </row>
    <row r="18" spans="2:36" ht="12.75">
      <c r="B18" s="74"/>
      <c r="C18" s="96" t="s">
        <v>18</v>
      </c>
      <c r="D18" s="81">
        <f>COUNT(Q18:EC18)</f>
        <v>6</v>
      </c>
      <c r="E18" s="44">
        <f>AVERAGE(Q18:EC18)</f>
        <v>6.5905</v>
      </c>
      <c r="F18" s="44">
        <f>CONFIDENCE(0.05,G18,D18)</f>
        <v>0.7726806379946989</v>
      </c>
      <c r="G18" s="44">
        <f>STDEV(Q18:EC18)</f>
        <v>0.9656673858011383</v>
      </c>
      <c r="H18" s="44">
        <f>QUARTILE(Q18:EC18,2)</f>
        <v>6.865</v>
      </c>
      <c r="I18" s="44">
        <f>MIN(Q18:EC18)</f>
        <v>5.153</v>
      </c>
      <c r="J18" s="44">
        <f>MAX(Q18:EC18)</f>
        <v>7.66</v>
      </c>
      <c r="K18" s="44">
        <f>PERCENTILE(Q18:EC18,0.95)</f>
        <v>7.565</v>
      </c>
      <c r="L18" s="105" t="str">
        <f>IF(H18&gt;6,"A",IF(H18&gt;5,"B",IF(H18&gt;4,"C",IF(H18&gt;3,"D","E"))))</f>
        <v>A</v>
      </c>
      <c r="N18" s="116" t="s">
        <v>18</v>
      </c>
      <c r="O18" s="108"/>
      <c r="P18" t="s">
        <v>18</v>
      </c>
      <c r="Q18">
        <v>7.66</v>
      </c>
      <c r="U18">
        <v>7.05</v>
      </c>
      <c r="X18">
        <v>7.28</v>
      </c>
      <c r="AB18">
        <v>5.72</v>
      </c>
      <c r="AF18">
        <v>6.68</v>
      </c>
      <c r="AJ18">
        <v>5.153</v>
      </c>
    </row>
    <row r="19" spans="2:36" ht="12.75">
      <c r="B19" s="71" t="s">
        <v>106</v>
      </c>
      <c r="C19" s="7" t="s">
        <v>19</v>
      </c>
      <c r="D19" s="86">
        <f>COUNT(Q19:EC19)</f>
        <v>7</v>
      </c>
      <c r="E19" s="113">
        <f>AVERAGE(Q19:EC19)</f>
        <v>7.762428571428572</v>
      </c>
      <c r="F19" s="113">
        <f>CONFIDENCE(0.05,G19,D19)</f>
        <v>0.9880253288023334</v>
      </c>
      <c r="G19" s="113">
        <f>STDEV(Q19:EC19)</f>
        <v>1.3337333388078774</v>
      </c>
      <c r="H19" s="113">
        <f>QUARTILE(Q19:EC19,2)</f>
        <v>7.86</v>
      </c>
      <c r="I19" s="113">
        <f>MIN(Q19:EC19)</f>
        <v>5.35</v>
      </c>
      <c r="J19" s="113">
        <f>MAX(Q19:EC19)</f>
        <v>9.5</v>
      </c>
      <c r="K19" s="113">
        <f>PERCENTILE(Q19:EC19,0.95)</f>
        <v>9.26</v>
      </c>
      <c r="L19" s="102" t="str">
        <f>IF(H19&gt;8,"A",IF(H19&gt;6,"B",IF(H19&gt;4,"C",IF(H19&gt;2,"D","E"))))</f>
        <v>B</v>
      </c>
      <c r="N19" s="116" t="s">
        <v>96</v>
      </c>
      <c r="O19" s="108"/>
      <c r="P19" t="s">
        <v>96</v>
      </c>
      <c r="R19">
        <v>7.86</v>
      </c>
      <c r="S19">
        <v>7.12</v>
      </c>
      <c r="T19">
        <v>5.35</v>
      </c>
      <c r="X19">
        <v>8.7</v>
      </c>
      <c r="AB19">
        <v>8.4</v>
      </c>
      <c r="AF19">
        <v>9.5</v>
      </c>
      <c r="AJ19">
        <v>7.407</v>
      </c>
    </row>
    <row r="20" spans="2:36" ht="13.5" thickBot="1">
      <c r="B20" s="72"/>
      <c r="C20" s="97" t="s">
        <v>122</v>
      </c>
      <c r="D20" s="87">
        <f>COUNT(Q20:EC20)</f>
        <v>4</v>
      </c>
      <c r="E20" s="114">
        <f>AVERAGE(Q20:EC20)</f>
        <v>3.3375000000000004</v>
      </c>
      <c r="F20" s="114">
        <f>CONFIDENCE(0.05,G20,D20)</f>
        <v>4.928795536975054</v>
      </c>
      <c r="G20" s="114">
        <f>STDEV(Q20:EC20)</f>
        <v>5.0294756187896965</v>
      </c>
      <c r="H20" s="114">
        <f>QUARTILE(Q20:EC20,2)</f>
        <v>1.275</v>
      </c>
      <c r="I20" s="114">
        <f>MIN(Q20:EC20)</f>
        <v>0</v>
      </c>
      <c r="J20" s="114">
        <f>MAX(Q20:EC20)</f>
        <v>10.8</v>
      </c>
      <c r="K20" s="114">
        <f>PERCENTILE(Q20:EC20,0.95)</f>
        <v>9.449999999999998</v>
      </c>
      <c r="L20" s="105"/>
      <c r="N20" s="116" t="s">
        <v>97</v>
      </c>
      <c r="O20" s="108"/>
      <c r="P20" t="s">
        <v>97</v>
      </c>
      <c r="X20">
        <v>1.8</v>
      </c>
      <c r="AB20">
        <v>10.8</v>
      </c>
      <c r="AF20">
        <v>0</v>
      </c>
      <c r="AJ20">
        <v>0.75</v>
      </c>
    </row>
    <row r="21" spans="2:15" ht="12.75">
      <c r="B21" s="80"/>
      <c r="C21" s="89"/>
      <c r="D21" s="89"/>
      <c r="E21" s="89"/>
      <c r="F21" s="89"/>
      <c r="G21" s="89"/>
      <c r="H21" s="89"/>
      <c r="I21" s="89"/>
      <c r="J21" s="89"/>
      <c r="K21" s="89"/>
      <c r="L21" s="100"/>
      <c r="O21" s="108"/>
    </row>
    <row r="22" spans="2:17" ht="12.75">
      <c r="B22" s="210" t="s">
        <v>119</v>
      </c>
      <c r="C22" s="211"/>
      <c r="D22" s="211"/>
      <c r="E22" s="211"/>
      <c r="F22" s="211"/>
      <c r="G22" s="76" t="str">
        <f>'Combined Score Calcs'!AC10</f>
        <v>A</v>
      </c>
      <c r="H22" s="39"/>
      <c r="I22" s="39"/>
      <c r="J22" s="39"/>
      <c r="K22" s="99"/>
      <c r="L22" s="90"/>
      <c r="N22" s="111"/>
      <c r="O22" s="108"/>
      <c r="Q22" s="20"/>
    </row>
    <row r="23" spans="2:17" ht="13.5" thickBot="1">
      <c r="B23" s="83"/>
      <c r="C23" s="84"/>
      <c r="D23" s="84"/>
      <c r="E23" s="84"/>
      <c r="F23" s="84"/>
      <c r="G23" s="84"/>
      <c r="H23" s="84"/>
      <c r="I23" s="84"/>
      <c r="J23" s="84"/>
      <c r="K23" s="84"/>
      <c r="L23" s="91"/>
      <c r="N23" s="111"/>
      <c r="O23" s="108"/>
      <c r="Q23" s="20"/>
    </row>
    <row r="24" spans="12:17" ht="12.75">
      <c r="L24" s="60"/>
      <c r="N24" s="111"/>
      <c r="O24" s="108"/>
      <c r="Q24" s="20"/>
    </row>
    <row r="25" spans="12:15" ht="12.75">
      <c r="L25" s="60"/>
      <c r="O25" s="108"/>
    </row>
    <row r="26" spans="12:15" ht="12.75">
      <c r="L26" s="60"/>
      <c r="O26" s="108"/>
    </row>
    <row r="27" spans="12:15" ht="12.75">
      <c r="L27" s="60"/>
      <c r="O27" s="108"/>
    </row>
    <row r="28" spans="7:15" ht="12.75">
      <c r="G28" t="s">
        <v>140</v>
      </c>
      <c r="H28" t="s">
        <v>141</v>
      </c>
      <c r="L28" s="60"/>
      <c r="O28" s="108"/>
    </row>
    <row r="29" spans="5:15" ht="12.75">
      <c r="E29" s="158"/>
      <c r="F29" s="153"/>
      <c r="G29" s="118" t="s">
        <v>21</v>
      </c>
      <c r="H29" s="136">
        <v>1.5</v>
      </c>
      <c r="I29" s="137">
        <v>10</v>
      </c>
      <c r="J29" s="119"/>
      <c r="K29" s="119"/>
      <c r="L29" s="60"/>
      <c r="O29" s="108"/>
    </row>
    <row r="30" spans="5:12" ht="12.75">
      <c r="E30" s="158"/>
      <c r="F30" s="153"/>
      <c r="G30" s="122" t="s">
        <v>22</v>
      </c>
      <c r="H30" s="137">
        <v>65</v>
      </c>
      <c r="I30" s="137">
        <v>270</v>
      </c>
      <c r="J30" s="119"/>
      <c r="K30" s="119"/>
      <c r="L30" s="60"/>
    </row>
    <row r="31" spans="5:12" ht="12.75">
      <c r="E31" s="158"/>
      <c r="F31" s="153"/>
      <c r="G31" s="122" t="s">
        <v>23</v>
      </c>
      <c r="H31" s="137">
        <v>50</v>
      </c>
      <c r="I31" s="137">
        <v>220</v>
      </c>
      <c r="J31" s="119"/>
      <c r="K31" s="119"/>
      <c r="L31" s="60"/>
    </row>
    <row r="32" spans="5:12" ht="12.75">
      <c r="E32" s="158"/>
      <c r="F32" s="153"/>
      <c r="G32" s="122" t="s">
        <v>24</v>
      </c>
      <c r="H32" s="137">
        <v>200</v>
      </c>
      <c r="I32" s="137">
        <v>210</v>
      </c>
      <c r="J32" s="119"/>
      <c r="K32" s="119"/>
      <c r="L32" s="60"/>
    </row>
    <row r="33" spans="7:12" ht="12.75">
      <c r="G33" s="122"/>
      <c r="H33" t="s">
        <v>137</v>
      </c>
      <c r="I33" t="s">
        <v>138</v>
      </c>
      <c r="L33" s="60"/>
    </row>
    <row r="34" ht="12.75">
      <c r="L34" s="60"/>
    </row>
    <row r="35" ht="12.75">
      <c r="L35" s="60"/>
    </row>
    <row r="36" spans="5:12" ht="12.75">
      <c r="E36" s="158"/>
      <c r="F36" s="153"/>
      <c r="G36" s="119"/>
      <c r="H36" s="119"/>
      <c r="I36" s="119"/>
      <c r="J36" s="119"/>
      <c r="K36" s="119"/>
      <c r="L36" s="60"/>
    </row>
    <row r="37" spans="5:12" ht="12.75">
      <c r="E37" s="158"/>
      <c r="F37" s="153"/>
      <c r="G37" s="119"/>
      <c r="H37" s="119"/>
      <c r="I37" s="119"/>
      <c r="J37" s="119"/>
      <c r="K37" s="119"/>
      <c r="L37" s="60"/>
    </row>
    <row r="38" spans="5:12" ht="12.75">
      <c r="E38" s="158"/>
      <c r="F38" s="153"/>
      <c r="G38" s="119"/>
      <c r="H38" s="119"/>
      <c r="I38" s="119"/>
      <c r="J38" s="119"/>
      <c r="K38" s="119"/>
      <c r="L38" s="60"/>
    </row>
    <row r="39" spans="5:12" ht="12.75">
      <c r="E39" s="158"/>
      <c r="F39" s="153"/>
      <c r="G39" s="119"/>
      <c r="H39" s="119"/>
      <c r="I39" s="119"/>
      <c r="J39" s="119"/>
      <c r="K39" s="119"/>
      <c r="L39" s="60"/>
    </row>
    <row r="40" spans="5:12" ht="12.75">
      <c r="E40" s="158"/>
      <c r="F40" s="153"/>
      <c r="G40" s="119"/>
      <c r="H40" s="119"/>
      <c r="I40" s="119"/>
      <c r="J40" s="119"/>
      <c r="K40" s="119"/>
      <c r="L40" s="60"/>
    </row>
    <row r="41" spans="5:12" ht="12.75">
      <c r="E41" s="158"/>
      <c r="F41" s="153"/>
      <c r="G41" s="119"/>
      <c r="H41" s="119"/>
      <c r="I41" s="119"/>
      <c r="J41" s="119"/>
      <c r="K41" s="119"/>
      <c r="L41" s="60"/>
    </row>
    <row r="42" ht="12.75">
      <c r="L42" s="60"/>
    </row>
  </sheetData>
  <mergeCells count="1">
    <mergeCell ref="B22:F22"/>
  </mergeCells>
  <printOptions/>
  <pageMargins left="0.75" right="0.75" top="1" bottom="1" header="0.5" footer="0.5"/>
  <pageSetup horizontalDpi="600" verticalDpi="600" orientation="portrait" paperSize="133" r:id="rId1"/>
</worksheet>
</file>

<file path=xl/worksheets/sheet5.xml><?xml version="1.0" encoding="utf-8"?>
<worksheet xmlns="http://schemas.openxmlformats.org/spreadsheetml/2006/main" xmlns:r="http://schemas.openxmlformats.org/officeDocument/2006/relationships">
  <dimension ref="B1:AQ42"/>
  <sheetViews>
    <sheetView workbookViewId="0" topLeftCell="A1">
      <selection activeCell="B3" sqref="B3:L23"/>
    </sheetView>
  </sheetViews>
  <sheetFormatPr defaultColWidth="9.140625" defaultRowHeight="12.75"/>
  <cols>
    <col min="3" max="3" width="28.7109375" style="0" bestFit="1" customWidth="1"/>
    <col min="14" max="14" width="34.140625" style="0" customWidth="1"/>
    <col min="16" max="16" width="33.57421875" style="0" customWidth="1"/>
    <col min="17" max="17" width="14.421875" style="0" bestFit="1" customWidth="1"/>
  </cols>
  <sheetData>
    <row r="1" spans="2:15" ht="15.75">
      <c r="B1" s="107" t="s">
        <v>161</v>
      </c>
      <c r="O1" s="109" t="s">
        <v>125</v>
      </c>
    </row>
    <row r="2" spans="12:39" ht="13.5" thickBot="1">
      <c r="L2" s="60"/>
      <c r="N2" s="116" t="s">
        <v>84</v>
      </c>
      <c r="O2" s="110"/>
      <c r="P2" t="s">
        <v>84</v>
      </c>
      <c r="Q2" t="s">
        <v>66</v>
      </c>
      <c r="R2" t="s">
        <v>66</v>
      </c>
      <c r="S2" t="s">
        <v>66</v>
      </c>
      <c r="T2" t="s">
        <v>66</v>
      </c>
      <c r="U2" t="s">
        <v>66</v>
      </c>
      <c r="V2" t="s">
        <v>66</v>
      </c>
      <c r="W2" t="s">
        <v>66</v>
      </c>
      <c r="X2" t="s">
        <v>66</v>
      </c>
      <c r="Y2" t="s">
        <v>66</v>
      </c>
      <c r="Z2" t="s">
        <v>66</v>
      </c>
      <c r="AA2" t="s">
        <v>66</v>
      </c>
      <c r="AB2" t="s">
        <v>66</v>
      </c>
      <c r="AC2" t="s">
        <v>66</v>
      </c>
      <c r="AD2" t="s">
        <v>66</v>
      </c>
      <c r="AE2" t="s">
        <v>66</v>
      </c>
      <c r="AF2" t="s">
        <v>66</v>
      </c>
      <c r="AG2" t="s">
        <v>66</v>
      </c>
      <c r="AH2" t="s">
        <v>66</v>
      </c>
      <c r="AI2" t="s">
        <v>66</v>
      </c>
      <c r="AJ2" t="s">
        <v>66</v>
      </c>
      <c r="AK2" t="s">
        <v>66</v>
      </c>
      <c r="AL2" t="s">
        <v>66</v>
      </c>
      <c r="AM2" t="s">
        <v>66</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36832.586805555555</v>
      </c>
      <c r="R3" s="64">
        <v>36921.510416666664</v>
      </c>
      <c r="S3" s="64">
        <v>37012.47222222222</v>
      </c>
      <c r="T3" s="64">
        <v>37109.524305555555</v>
      </c>
      <c r="U3" s="64">
        <v>37223.461805555555</v>
      </c>
      <c r="V3" s="64">
        <v>37384.989583333336</v>
      </c>
      <c r="W3" s="64">
        <v>37475.458333333336</v>
      </c>
      <c r="X3" s="64">
        <v>37587.57986111111</v>
      </c>
      <c r="Y3" s="64">
        <v>37649.489583333336</v>
      </c>
      <c r="Z3" s="64">
        <v>37747.461805555555</v>
      </c>
      <c r="AA3" s="64">
        <v>37838.46527777778</v>
      </c>
      <c r="AB3" s="64">
        <v>37951.53125</v>
      </c>
      <c r="AC3" s="64">
        <v>38028.47222222222</v>
      </c>
      <c r="AD3" s="64">
        <v>38112.44097222222</v>
      </c>
      <c r="AE3" s="64">
        <v>38203.43263888889</v>
      </c>
      <c r="AF3" s="64">
        <v>38336.47222222222</v>
      </c>
      <c r="AG3" s="64">
        <v>38393.770833333336</v>
      </c>
      <c r="AH3" s="64">
        <v>38478.46666666667</v>
      </c>
      <c r="AI3" s="64">
        <v>38594.47152777778</v>
      </c>
      <c r="AJ3" s="64">
        <v>38681.4375</v>
      </c>
      <c r="AK3" s="64">
        <v>38777.447222222225</v>
      </c>
      <c r="AL3" s="64">
        <v>38870.447916666664</v>
      </c>
      <c r="AM3" s="64">
        <v>38961.44097222222</v>
      </c>
      <c r="AO3" s="64"/>
      <c r="AP3" s="64"/>
      <c r="AQ3" s="64"/>
    </row>
    <row r="4" spans="2:39" ht="12.75">
      <c r="B4" s="68" t="s">
        <v>103</v>
      </c>
      <c r="C4" s="93" t="s">
        <v>4</v>
      </c>
      <c r="D4" s="81">
        <f>COUNT(Q4:EC4)</f>
        <v>20</v>
      </c>
      <c r="E4" s="82">
        <f>AVERAGE(Q4:EC4)</f>
        <v>0.16175</v>
      </c>
      <c r="F4" s="82">
        <f aca="true" t="shared" si="0" ref="F4:F15">CONFIDENCE(0.05,G4,D4)</f>
        <v>0.033862260888743605</v>
      </c>
      <c r="G4" s="82">
        <f>STDEV(Q4:EC4)</f>
        <v>0.07726500876171152</v>
      </c>
      <c r="H4" s="82">
        <f>QUARTILE(Q4:EC4,2)</f>
        <v>0.155</v>
      </c>
      <c r="I4" s="82">
        <f>MIN(Q4:EC4)</f>
        <v>0.042</v>
      </c>
      <c r="J4" s="82">
        <f>MAX(Q4:EC4)</f>
        <v>0.34</v>
      </c>
      <c r="K4" s="82">
        <f>PERCENTILE(Q4:EC4,0.95)</f>
        <v>0.2735000000000001</v>
      </c>
      <c r="L4" s="102" t="str">
        <f>IF((H4+H5)&lt;0.08,"A",IF((H4+H5)&lt;0.12,"B",IF((H4+H5)&lt;0.295,"C",IF((H4+H5)&lt;0.444,"D","E"))))</f>
        <v>C</v>
      </c>
      <c r="N4" s="116" t="s">
        <v>86</v>
      </c>
      <c r="O4" s="108"/>
      <c r="P4" t="s">
        <v>86</v>
      </c>
      <c r="R4">
        <v>0.16</v>
      </c>
      <c r="S4">
        <v>0.12</v>
      </c>
      <c r="V4">
        <v>0.13</v>
      </c>
      <c r="W4">
        <v>0.27</v>
      </c>
      <c r="X4">
        <v>0.17</v>
      </c>
      <c r="Y4">
        <v>0.13</v>
      </c>
      <c r="Z4">
        <v>0.18</v>
      </c>
      <c r="AA4">
        <v>0.22</v>
      </c>
      <c r="AB4">
        <v>0.096</v>
      </c>
      <c r="AC4">
        <v>0.21</v>
      </c>
      <c r="AD4">
        <v>0.23</v>
      </c>
      <c r="AE4">
        <v>0.34</v>
      </c>
      <c r="AF4">
        <v>0.11</v>
      </c>
      <c r="AG4">
        <v>0.083</v>
      </c>
      <c r="AH4">
        <v>0.096</v>
      </c>
      <c r="AI4">
        <v>0.26</v>
      </c>
      <c r="AJ4">
        <v>0.048</v>
      </c>
      <c r="AK4">
        <v>0.042</v>
      </c>
      <c r="AL4">
        <v>0.19</v>
      </c>
      <c r="AM4">
        <v>0.15</v>
      </c>
    </row>
    <row r="5" spans="2:39" ht="12.75">
      <c r="B5" s="69"/>
      <c r="C5" s="5" t="s">
        <v>5</v>
      </c>
      <c r="D5" s="73">
        <f>COUNT(Q5:EC5)</f>
        <v>18</v>
      </c>
      <c r="E5" s="112">
        <f>AVERAGE(Q5:EC5)</f>
        <v>0.007333333333333335</v>
      </c>
      <c r="F5" s="112">
        <f t="shared" si="0"/>
        <v>0.0035572766678596004</v>
      </c>
      <c r="G5" s="112">
        <f>STDEV(Q5:EC5)</f>
        <v>0.007700267375036976</v>
      </c>
      <c r="H5" s="112">
        <f>QUARTILE(Q5:EC5,2)</f>
        <v>0.005</v>
      </c>
      <c r="I5" s="112">
        <f>MIN(Q5:EC5)</f>
        <v>0.005</v>
      </c>
      <c r="J5" s="112">
        <f>MAX(Q5:EC5)</f>
        <v>0.037</v>
      </c>
      <c r="K5" s="112">
        <f>PERCENTILE(Q5:EC5,0.95)</f>
        <v>0.01744999999999997</v>
      </c>
      <c r="L5" s="102"/>
      <c r="N5" s="116" t="s">
        <v>87</v>
      </c>
      <c r="O5" s="108"/>
      <c r="P5" t="s">
        <v>87</v>
      </c>
      <c r="V5">
        <v>0.005</v>
      </c>
      <c r="W5">
        <v>0.014</v>
      </c>
      <c r="X5">
        <v>0.037</v>
      </c>
      <c r="Y5">
        <v>0.006</v>
      </c>
      <c r="Z5">
        <v>0.005</v>
      </c>
      <c r="AA5">
        <v>0.005</v>
      </c>
      <c r="AB5">
        <v>0.005</v>
      </c>
      <c r="AC5">
        <v>0.005</v>
      </c>
      <c r="AD5">
        <v>0.005</v>
      </c>
      <c r="AE5">
        <v>0.005</v>
      </c>
      <c r="AF5">
        <v>0.005</v>
      </c>
      <c r="AG5">
        <v>0.005</v>
      </c>
      <c r="AH5">
        <v>0.005</v>
      </c>
      <c r="AI5">
        <v>0.005</v>
      </c>
      <c r="AJ5">
        <v>0.005</v>
      </c>
      <c r="AK5">
        <v>0.005</v>
      </c>
      <c r="AL5">
        <v>0.005</v>
      </c>
      <c r="AM5">
        <v>0.005</v>
      </c>
    </row>
    <row r="6" spans="2:39" ht="12.75">
      <c r="B6" s="70"/>
      <c r="C6" s="94" t="s">
        <v>6</v>
      </c>
      <c r="D6" s="73">
        <f>COUNT(Q6:EC6)</f>
        <v>23</v>
      </c>
      <c r="E6" s="112">
        <f>AVERAGE(Q6:EC6)</f>
        <v>0.006347826086956524</v>
      </c>
      <c r="F6" s="112">
        <f t="shared" si="0"/>
        <v>0.0006927732626005621</v>
      </c>
      <c r="G6" s="112">
        <f>STDEV(Q6:EC6)</f>
        <v>0.0016951453585345609</v>
      </c>
      <c r="H6" s="112">
        <f>QUARTILE(Q6:EC6,2)</f>
        <v>0.006</v>
      </c>
      <c r="I6" s="112">
        <f>MIN(Q6:EC6)</f>
        <v>0.003</v>
      </c>
      <c r="J6" s="112">
        <f>MAX(Q6:EC6)</f>
        <v>0.011</v>
      </c>
      <c r="K6" s="112">
        <f>PERCENTILE(Q6:EC6,0.95)</f>
        <v>0.008899999999999998</v>
      </c>
      <c r="L6" s="102" t="str">
        <f>IF((H6)&lt;0.005,"A",IF((H6)&lt;0.008,"B",IF((H6)&lt;0.026,"C",IF((H6)&lt;0.05,"D","E"))))</f>
        <v>B</v>
      </c>
      <c r="N6" s="116" t="s">
        <v>88</v>
      </c>
      <c r="O6" s="108"/>
      <c r="P6" t="s">
        <v>88</v>
      </c>
      <c r="Q6">
        <v>0.007</v>
      </c>
      <c r="R6">
        <v>0.006</v>
      </c>
      <c r="S6">
        <v>0.005</v>
      </c>
      <c r="T6">
        <v>0.006</v>
      </c>
      <c r="U6">
        <v>0.008</v>
      </c>
      <c r="V6">
        <v>0.005</v>
      </c>
      <c r="W6">
        <v>0.005</v>
      </c>
      <c r="X6">
        <v>0.007</v>
      </c>
      <c r="Y6">
        <v>0.006</v>
      </c>
      <c r="Z6">
        <v>0.007</v>
      </c>
      <c r="AA6">
        <v>0.011</v>
      </c>
      <c r="AB6">
        <v>0.006</v>
      </c>
      <c r="AC6">
        <v>0.007</v>
      </c>
      <c r="AD6">
        <v>0.007</v>
      </c>
      <c r="AE6">
        <v>0.009</v>
      </c>
      <c r="AF6">
        <v>0.005</v>
      </c>
      <c r="AG6">
        <v>0.008</v>
      </c>
      <c r="AH6">
        <v>0.003</v>
      </c>
      <c r="AI6">
        <v>0.007</v>
      </c>
      <c r="AJ6">
        <v>0.006</v>
      </c>
      <c r="AK6">
        <v>0.004</v>
      </c>
      <c r="AL6">
        <v>0.006</v>
      </c>
      <c r="AM6">
        <v>0.005</v>
      </c>
    </row>
    <row r="7" spans="2:39" ht="12.75">
      <c r="B7" s="71" t="s">
        <v>104</v>
      </c>
      <c r="C7" s="6" t="s">
        <v>7</v>
      </c>
      <c r="D7" s="86">
        <f>COUNT(Q7:EC7)</f>
        <v>23</v>
      </c>
      <c r="E7" s="113">
        <f>AVERAGE(Q7:EC7)</f>
        <v>8.005652173913045</v>
      </c>
      <c r="F7" s="113">
        <f t="shared" si="0"/>
        <v>0.13024748610961148</v>
      </c>
      <c r="G7" s="113">
        <f>STDEV(Q7:EC7)</f>
        <v>0.31870228465616224</v>
      </c>
      <c r="H7" s="113">
        <f>QUARTILE(Q7:EC7,2)</f>
        <v>8.03</v>
      </c>
      <c r="I7" s="113">
        <f>MIN(Q7:EC7)</f>
        <v>7.41</v>
      </c>
      <c r="J7" s="113">
        <f>MAX(Q7:EC7)</f>
        <v>8.72</v>
      </c>
      <c r="K7" s="113">
        <f>PERCENTILE(Q7:EC7,0.95)</f>
        <v>8.525</v>
      </c>
      <c r="L7" s="103" t="str">
        <f>IF(AND(7.2&lt;H7,H7&lt;9),"A",IF(AND(7.2&lt;=H7,H7&lt;=9),"B",IF(AND(6.5&lt;=H7,H7&lt;=9),"C",IF(AND(6.5&lt;=H7,H7&lt;=10),"D","E"))))</f>
        <v>A</v>
      </c>
      <c r="N7" s="116" t="s">
        <v>89</v>
      </c>
      <c r="O7" s="108"/>
      <c r="P7" t="s">
        <v>89</v>
      </c>
      <c r="Q7">
        <v>8.21</v>
      </c>
      <c r="R7">
        <v>8.24</v>
      </c>
      <c r="S7">
        <v>8.72</v>
      </c>
      <c r="T7">
        <v>8</v>
      </c>
      <c r="U7">
        <v>7.71</v>
      </c>
      <c r="V7">
        <v>8.55</v>
      </c>
      <c r="W7">
        <v>8.23</v>
      </c>
      <c r="X7">
        <v>8.3</v>
      </c>
      <c r="Y7">
        <v>8.19</v>
      </c>
      <c r="Z7">
        <v>8.11</v>
      </c>
      <c r="AA7">
        <v>7.92</v>
      </c>
      <c r="AB7">
        <v>8.1</v>
      </c>
      <c r="AC7">
        <v>7.75</v>
      </c>
      <c r="AD7">
        <v>7.41</v>
      </c>
      <c r="AE7">
        <v>7.89</v>
      </c>
      <c r="AF7">
        <v>7.97</v>
      </c>
      <c r="AG7">
        <v>7.88</v>
      </c>
      <c r="AH7">
        <v>7.78</v>
      </c>
      <c r="AI7">
        <v>8.03</v>
      </c>
      <c r="AJ7">
        <v>7.49</v>
      </c>
      <c r="AK7">
        <v>7.49</v>
      </c>
      <c r="AL7">
        <v>8.1</v>
      </c>
      <c r="AM7">
        <v>8.06</v>
      </c>
    </row>
    <row r="8" spans="2:39" ht="12.75">
      <c r="B8" s="71"/>
      <c r="C8" s="6" t="s">
        <v>8</v>
      </c>
      <c r="D8" s="81">
        <f>COUNT(Q8:EC8)</f>
        <v>23</v>
      </c>
      <c r="E8" s="44">
        <f>AVERAGE(Q8:EC8)</f>
        <v>11.719565217391303</v>
      </c>
      <c r="F8" s="44">
        <f t="shared" si="0"/>
        <v>1.3785987044798322</v>
      </c>
      <c r="G8" s="44">
        <f>STDEV(Q8:EC8)</f>
        <v>3.3732901099680084</v>
      </c>
      <c r="H8" s="44">
        <f>QUARTILE(Q8:EC8,2)</f>
        <v>11.7</v>
      </c>
      <c r="I8" s="44">
        <f>MIN(Q8:EC8)</f>
        <v>6.3</v>
      </c>
      <c r="J8" s="44">
        <f>MAX(Q8:EC8)</f>
        <v>19.2</v>
      </c>
      <c r="K8" s="44">
        <f>PERCENTILE(Q8:EC8,0.95)</f>
        <v>16.119999999999997</v>
      </c>
      <c r="L8" s="102" t="str">
        <f>IF(H8&lt;18,"A",IF(H8&lt;20,"B",IF(H8&lt;22,"C",IF(H8&lt;25,"D","E"))))</f>
        <v>A</v>
      </c>
      <c r="N8" s="116" t="s">
        <v>90</v>
      </c>
      <c r="O8" s="108"/>
      <c r="P8" t="s">
        <v>90</v>
      </c>
      <c r="Q8">
        <v>14.8</v>
      </c>
      <c r="R8">
        <v>16.2</v>
      </c>
      <c r="S8">
        <v>12.1</v>
      </c>
      <c r="T8">
        <v>7.1</v>
      </c>
      <c r="U8">
        <v>11.7</v>
      </c>
      <c r="V8">
        <v>11.01</v>
      </c>
      <c r="W8">
        <v>8.5</v>
      </c>
      <c r="X8">
        <v>15.4</v>
      </c>
      <c r="Y8">
        <v>14.7</v>
      </c>
      <c r="Z8">
        <v>8.6</v>
      </c>
      <c r="AA8">
        <v>8.6</v>
      </c>
      <c r="AB8">
        <v>13.2</v>
      </c>
      <c r="AC8">
        <v>14.9</v>
      </c>
      <c r="AD8">
        <v>11.2</v>
      </c>
      <c r="AE8">
        <v>6.3</v>
      </c>
      <c r="AF8">
        <v>13.1</v>
      </c>
      <c r="AG8">
        <v>19.2</v>
      </c>
      <c r="AH8">
        <v>9.9</v>
      </c>
      <c r="AI8">
        <v>9.17</v>
      </c>
      <c r="AJ8">
        <v>12.16</v>
      </c>
      <c r="AK8">
        <v>15.2</v>
      </c>
      <c r="AL8">
        <v>7.71</v>
      </c>
      <c r="AM8">
        <v>8.8</v>
      </c>
    </row>
    <row r="9" spans="2:39" ht="12.75">
      <c r="B9" s="71"/>
      <c r="C9" s="7" t="s">
        <v>9</v>
      </c>
      <c r="D9" s="81">
        <f>COUNT(Q9:EC9)</f>
        <v>23</v>
      </c>
      <c r="E9" s="44">
        <f>AVERAGE(Q9:EC9)</f>
        <v>102.73478260869564</v>
      </c>
      <c r="F9" s="44">
        <f t="shared" si="0"/>
        <v>1.8514311434432476</v>
      </c>
      <c r="G9" s="44">
        <f>STDEV(Q9:EC9)</f>
        <v>4.5302627553392085</v>
      </c>
      <c r="H9" s="44">
        <f>QUARTILE(Q9:EC9,2)</f>
        <v>101.4</v>
      </c>
      <c r="I9" s="44">
        <f>MIN(Q9:EC9)</f>
        <v>94.3</v>
      </c>
      <c r="J9" s="44">
        <f>MAX(Q9:EC9)</f>
        <v>112.5</v>
      </c>
      <c r="K9" s="44">
        <f>PERCENTILE(Q9:EC9,0.95)</f>
        <v>109.72999999999999</v>
      </c>
      <c r="L9" s="104" t="str">
        <f>IF(AND(99&lt;=H9,H9&lt;=103),"A",IF(AND(98&lt;=H9,H9&lt;=105),"B",IF(H9&gt;90,"C",IF(H9&gt;80,"D","E"))))</f>
        <v>A</v>
      </c>
      <c r="N9" s="116" t="s">
        <v>91</v>
      </c>
      <c r="O9" s="108"/>
      <c r="P9" t="s">
        <v>91</v>
      </c>
      <c r="Q9">
        <v>94.3</v>
      </c>
      <c r="R9">
        <v>107.4</v>
      </c>
      <c r="S9">
        <v>108.9</v>
      </c>
      <c r="T9">
        <v>100.5</v>
      </c>
      <c r="U9">
        <v>98.8</v>
      </c>
      <c r="V9">
        <v>109.1</v>
      </c>
      <c r="W9">
        <v>109.8</v>
      </c>
      <c r="X9">
        <v>107.3</v>
      </c>
      <c r="Y9">
        <v>104.3</v>
      </c>
      <c r="Z9">
        <v>102.1</v>
      </c>
      <c r="AA9">
        <v>101.3</v>
      </c>
      <c r="AB9">
        <v>100</v>
      </c>
      <c r="AC9">
        <v>99.8</v>
      </c>
      <c r="AD9">
        <v>98.4</v>
      </c>
      <c r="AE9">
        <v>96.9</v>
      </c>
      <c r="AF9">
        <v>103.8</v>
      </c>
      <c r="AG9">
        <v>99.8</v>
      </c>
      <c r="AH9">
        <v>101</v>
      </c>
      <c r="AI9">
        <v>112.5</v>
      </c>
      <c r="AJ9">
        <v>101.4</v>
      </c>
      <c r="AK9">
        <v>102.5</v>
      </c>
      <c r="AL9">
        <v>100.5</v>
      </c>
      <c r="AM9">
        <v>102.5</v>
      </c>
    </row>
    <row r="10" spans="2:39" ht="12.75">
      <c r="B10" s="71"/>
      <c r="C10" s="6" t="s">
        <v>10</v>
      </c>
      <c r="D10" s="81">
        <f>COUNT(Q10:EC10)</f>
        <v>23</v>
      </c>
      <c r="E10" s="44">
        <f>AVERAGE(Q10:EC10)</f>
        <v>11.193478260869563</v>
      </c>
      <c r="F10" s="44">
        <f t="shared" si="0"/>
        <v>0.3964904223954724</v>
      </c>
      <c r="G10" s="44">
        <f>STDEV(Q10:EC10)</f>
        <v>0.9701715344846034</v>
      </c>
      <c r="H10" s="44">
        <f>QUARTILE(Q10:EC10,2)</f>
        <v>10.91</v>
      </c>
      <c r="I10" s="44">
        <f>MIN(Q10:EC10)</f>
        <v>9.22</v>
      </c>
      <c r="J10" s="44">
        <f>MAX(Q10:EC10)</f>
        <v>12.95</v>
      </c>
      <c r="K10" s="44">
        <f>PERCENTILE(Q10:EC10,0.95)</f>
        <v>12.778999999999998</v>
      </c>
      <c r="L10" s="102"/>
      <c r="N10" s="116" t="s">
        <v>92</v>
      </c>
      <c r="O10" s="108"/>
      <c r="P10" t="s">
        <v>92</v>
      </c>
      <c r="Q10">
        <v>9.61</v>
      </c>
      <c r="R10">
        <v>10.62</v>
      </c>
      <c r="S10">
        <v>11.54</v>
      </c>
      <c r="T10">
        <v>12.14</v>
      </c>
      <c r="U10">
        <v>10.7</v>
      </c>
      <c r="V10">
        <v>12.03</v>
      </c>
      <c r="W10">
        <v>12.85</v>
      </c>
      <c r="X10">
        <v>10.74</v>
      </c>
      <c r="Y10">
        <v>10.59</v>
      </c>
      <c r="Z10">
        <v>11.92</v>
      </c>
      <c r="AA10">
        <v>11.82</v>
      </c>
      <c r="AB10">
        <v>10.47</v>
      </c>
      <c r="AC10">
        <v>10.07</v>
      </c>
      <c r="AD10">
        <v>10.81</v>
      </c>
      <c r="AE10">
        <v>11.98</v>
      </c>
      <c r="AF10">
        <v>10.91</v>
      </c>
      <c r="AG10">
        <v>9.22</v>
      </c>
      <c r="AH10">
        <v>11.42</v>
      </c>
      <c r="AI10">
        <v>12.95</v>
      </c>
      <c r="AJ10">
        <v>10.88</v>
      </c>
      <c r="AK10">
        <v>10.3</v>
      </c>
      <c r="AL10">
        <v>11.98</v>
      </c>
      <c r="AM10">
        <v>11.9</v>
      </c>
    </row>
    <row r="11" spans="2:39" ht="12.75">
      <c r="B11" s="72"/>
      <c r="C11" s="95" t="s">
        <v>11</v>
      </c>
      <c r="D11" s="87">
        <f>COUNT(Q11:EC11)</f>
        <v>23</v>
      </c>
      <c r="E11" s="115">
        <f>AVERAGE(Q11:EC11)</f>
        <v>199.94782608695652</v>
      </c>
      <c r="F11" s="115">
        <f t="shared" si="0"/>
        <v>9.074794706671906</v>
      </c>
      <c r="G11" s="115">
        <f>STDEV(Q11:EC11)</f>
        <v>22.20509502477499</v>
      </c>
      <c r="H11" s="115">
        <f>QUARTILE(Q11:EC11,2)</f>
        <v>206</v>
      </c>
      <c r="I11" s="115">
        <f>MIN(Q11:EC11)</f>
        <v>136</v>
      </c>
      <c r="J11" s="115">
        <f>MAX(Q11:EC11)</f>
        <v>234</v>
      </c>
      <c r="K11" s="115">
        <f>PERCENTILE(Q11:EC11,0.95)</f>
        <v>222.17000000000002</v>
      </c>
      <c r="L11" s="105"/>
      <c r="N11" s="116" t="s">
        <v>93</v>
      </c>
      <c r="O11" s="108"/>
      <c r="P11" t="s">
        <v>93</v>
      </c>
      <c r="Q11">
        <v>209.7</v>
      </c>
      <c r="R11">
        <v>220.8</v>
      </c>
      <c r="S11">
        <v>222.3</v>
      </c>
      <c r="T11">
        <v>189.5</v>
      </c>
      <c r="U11">
        <v>167.5</v>
      </c>
      <c r="V11">
        <v>216</v>
      </c>
      <c r="W11">
        <v>203</v>
      </c>
      <c r="X11">
        <v>206</v>
      </c>
      <c r="Y11">
        <v>217</v>
      </c>
      <c r="Z11">
        <v>203</v>
      </c>
      <c r="AA11">
        <v>210</v>
      </c>
      <c r="AB11">
        <v>206</v>
      </c>
      <c r="AC11">
        <v>185</v>
      </c>
      <c r="AD11">
        <v>136</v>
      </c>
      <c r="AE11">
        <v>170</v>
      </c>
      <c r="AF11">
        <v>207</v>
      </c>
      <c r="AG11">
        <v>205</v>
      </c>
      <c r="AH11">
        <v>216</v>
      </c>
      <c r="AI11">
        <v>178</v>
      </c>
      <c r="AJ11">
        <v>221</v>
      </c>
      <c r="AK11">
        <v>234</v>
      </c>
      <c r="AL11">
        <v>187</v>
      </c>
      <c r="AM11">
        <v>189</v>
      </c>
    </row>
    <row r="12" spans="2:39" ht="12.75">
      <c r="B12" s="68" t="s">
        <v>105</v>
      </c>
      <c r="C12" s="4" t="s">
        <v>12</v>
      </c>
      <c r="D12" s="81">
        <f>COUNT(Q12:EC12)</f>
        <v>23</v>
      </c>
      <c r="E12" s="82">
        <f>AVERAGE(Q12:EC12)</f>
        <v>0.8726086956521738</v>
      </c>
      <c r="F12" s="82">
        <f t="shared" si="0"/>
        <v>0.2603256296564773</v>
      </c>
      <c r="G12" s="82">
        <f>STDEV(Q12:EC12)</f>
        <v>0.6369902053714255</v>
      </c>
      <c r="H12" s="82">
        <f>QUARTILE(Q12:EC12,2)</f>
        <v>0.67</v>
      </c>
      <c r="I12" s="82">
        <f>MIN(Q12:EC12)</f>
        <v>0.3</v>
      </c>
      <c r="J12" s="82">
        <f>MAX(Q12:EC12)</f>
        <v>3.23</v>
      </c>
      <c r="K12" s="82">
        <f>PERCENTILE(Q12:EC12,0.95)</f>
        <v>1.6969999999999996</v>
      </c>
      <c r="L12" s="102" t="str">
        <f>IF(H12&lt;1,"A",IF(H12&lt;2,"B",IF(H12&lt;3,"C",IF(H12&lt;5,"D","E"))))</f>
        <v>A</v>
      </c>
      <c r="N12" s="116" t="s">
        <v>94</v>
      </c>
      <c r="O12" s="108"/>
      <c r="P12" t="s">
        <v>94</v>
      </c>
      <c r="Q12">
        <v>0.58</v>
      </c>
      <c r="R12">
        <v>0.48</v>
      </c>
      <c r="S12">
        <v>0.3</v>
      </c>
      <c r="T12">
        <v>0.35</v>
      </c>
      <c r="U12">
        <v>3.23</v>
      </c>
      <c r="V12">
        <v>0.74</v>
      </c>
      <c r="W12">
        <v>0.74</v>
      </c>
      <c r="X12">
        <v>0.6</v>
      </c>
      <c r="Y12">
        <v>0.42</v>
      </c>
      <c r="Z12">
        <v>0.51</v>
      </c>
      <c r="AA12">
        <v>0.63</v>
      </c>
      <c r="AB12">
        <v>0.48</v>
      </c>
      <c r="AC12">
        <v>0.7</v>
      </c>
      <c r="AD12">
        <v>1.38</v>
      </c>
      <c r="AE12">
        <v>1.2</v>
      </c>
      <c r="AF12">
        <v>0.67</v>
      </c>
      <c r="AG12">
        <v>1.03</v>
      </c>
      <c r="AH12">
        <v>0.42</v>
      </c>
      <c r="AI12">
        <v>1.04</v>
      </c>
      <c r="AJ12">
        <v>0.72</v>
      </c>
      <c r="AK12">
        <v>0.64</v>
      </c>
      <c r="AL12">
        <v>1.72</v>
      </c>
      <c r="AM12">
        <v>1.49</v>
      </c>
    </row>
    <row r="13" spans="2:39" ht="12.75">
      <c r="B13" s="71"/>
      <c r="C13" s="6" t="s">
        <v>13</v>
      </c>
      <c r="D13" s="81">
        <f>COUNT(Q13:EC13)</f>
        <v>23</v>
      </c>
      <c r="E13" s="44">
        <f>AVERAGE(Q13:EC13)</f>
        <v>5.670869565217392</v>
      </c>
      <c r="F13" s="44">
        <f t="shared" si="0"/>
        <v>0.8072414920359595</v>
      </c>
      <c r="G13" s="44">
        <f>STDEV(Q13:EC13)</f>
        <v>1.9752374150592111</v>
      </c>
      <c r="H13" s="44">
        <f>QUARTILE(Q13:EC13,2)</f>
        <v>5.6</v>
      </c>
      <c r="I13" s="44">
        <f>MIN(Q13:EC13)</f>
        <v>1.6</v>
      </c>
      <c r="J13" s="44">
        <f>MAX(Q13:EC13)</f>
        <v>9.9</v>
      </c>
      <c r="K13" s="44">
        <f>PERCENTILE(Q13:EC13,0.95)</f>
        <v>8.599999999999998</v>
      </c>
      <c r="L13" s="102" t="str">
        <f>IF(H13&gt;6,"A",IF(H13&gt;4,"B",IF(H13&gt;2.5,"C",IF(H13&gt;0.6,"D","E"))))</f>
        <v>B</v>
      </c>
      <c r="N13" s="116" t="s">
        <v>13</v>
      </c>
      <c r="O13" s="108"/>
      <c r="P13" t="s">
        <v>13</v>
      </c>
      <c r="Q13">
        <v>5.6</v>
      </c>
      <c r="R13">
        <v>6.45</v>
      </c>
      <c r="S13">
        <v>7.4</v>
      </c>
      <c r="T13">
        <v>9.9</v>
      </c>
      <c r="U13">
        <v>1.6</v>
      </c>
      <c r="V13">
        <v>7.03</v>
      </c>
      <c r="W13">
        <v>5</v>
      </c>
      <c r="X13">
        <v>5.5</v>
      </c>
      <c r="Y13">
        <v>7.7</v>
      </c>
      <c r="Z13">
        <v>6.8</v>
      </c>
      <c r="AA13">
        <v>8.7</v>
      </c>
      <c r="AB13">
        <v>7.15</v>
      </c>
      <c r="AC13">
        <v>4.6</v>
      </c>
      <c r="AD13">
        <v>3.4</v>
      </c>
      <c r="AE13">
        <v>6.8</v>
      </c>
      <c r="AF13">
        <v>5.6</v>
      </c>
      <c r="AG13">
        <v>3.3</v>
      </c>
      <c r="AH13">
        <v>7</v>
      </c>
      <c r="AI13">
        <v>4.5</v>
      </c>
      <c r="AJ13">
        <v>4.3</v>
      </c>
      <c r="AK13">
        <v>3.5</v>
      </c>
      <c r="AL13">
        <v>3.3</v>
      </c>
      <c r="AM13">
        <v>5.3</v>
      </c>
    </row>
    <row r="14" spans="2:39" ht="12.75">
      <c r="B14" s="72"/>
      <c r="C14" s="95" t="s">
        <v>14</v>
      </c>
      <c r="D14" s="87">
        <f>COUNT(Q14:EC14)</f>
        <v>22</v>
      </c>
      <c r="E14" s="115">
        <f>AVERAGE(Q14:EC14)</f>
        <v>1.0000000000000002</v>
      </c>
      <c r="F14" s="115">
        <f t="shared" si="0"/>
        <v>0.43693118749317134</v>
      </c>
      <c r="G14" s="115">
        <f>STDEV(Q14:EC14)</f>
        <v>1.0456258094238746</v>
      </c>
      <c r="H14" s="115">
        <f>QUARTILE(Q14:EC14,2)</f>
        <v>0.7</v>
      </c>
      <c r="I14" s="115">
        <f>MIN(Q14:EC14)</f>
        <v>0.3</v>
      </c>
      <c r="J14" s="115">
        <f>MAX(Q14:EC14)</f>
        <v>5</v>
      </c>
      <c r="K14" s="115">
        <f>PERCENTILE(Q14:EC14,0.95)</f>
        <v>2</v>
      </c>
      <c r="L14" s="102"/>
      <c r="N14" s="116" t="s">
        <v>95</v>
      </c>
      <c r="O14" s="108"/>
      <c r="P14" t="s">
        <v>95</v>
      </c>
      <c r="Q14">
        <v>1</v>
      </c>
      <c r="R14">
        <v>5</v>
      </c>
      <c r="S14">
        <v>1</v>
      </c>
      <c r="U14">
        <v>2</v>
      </c>
      <c r="V14">
        <v>0.3</v>
      </c>
      <c r="W14">
        <v>2</v>
      </c>
      <c r="X14">
        <v>0.7</v>
      </c>
      <c r="Y14">
        <v>0.4</v>
      </c>
      <c r="Z14">
        <v>0.4</v>
      </c>
      <c r="AA14">
        <v>0.4</v>
      </c>
      <c r="AB14">
        <v>0.5</v>
      </c>
      <c r="AC14">
        <v>0.8</v>
      </c>
      <c r="AD14">
        <v>0.8</v>
      </c>
      <c r="AE14">
        <v>2</v>
      </c>
      <c r="AF14">
        <v>0.6</v>
      </c>
      <c r="AG14">
        <v>0.7</v>
      </c>
      <c r="AH14">
        <v>0.3</v>
      </c>
      <c r="AI14">
        <v>1</v>
      </c>
      <c r="AJ14">
        <v>0.5</v>
      </c>
      <c r="AK14">
        <v>0.3</v>
      </c>
      <c r="AL14">
        <v>0.3</v>
      </c>
      <c r="AM14">
        <v>1</v>
      </c>
    </row>
    <row r="15" spans="2:39" ht="12.75">
      <c r="B15" s="208" t="s">
        <v>267</v>
      </c>
      <c r="C15" s="8" t="s">
        <v>268</v>
      </c>
      <c r="D15" s="81">
        <f>COUNT(Q15:EC15)</f>
        <v>23</v>
      </c>
      <c r="E15" s="40">
        <f>AVERAGE(Q15:EC15)</f>
        <v>21.652173913043477</v>
      </c>
      <c r="F15" s="40">
        <f t="shared" si="0"/>
        <v>9.101425885371563</v>
      </c>
      <c r="G15" s="40">
        <f>STDEV(Q15:EC15)</f>
        <v>22.270258796822958</v>
      </c>
      <c r="H15" s="40">
        <f>QUARTILE(Q15:EC15,2)</f>
        <v>15</v>
      </c>
      <c r="I15" s="40">
        <f>MIN(Q15:EC15)</f>
        <v>5</v>
      </c>
      <c r="J15" s="40">
        <f>MAX(Q15:EC15)</f>
        <v>80</v>
      </c>
      <c r="K15" s="40">
        <f>PERCENTILE(Q15:EC15,0.95)</f>
        <v>72.99999999999997</v>
      </c>
      <c r="L15" s="106" t="str">
        <f>IF(H15&lt;10,"A",IF(H15&lt;130,"B",IF(H15&lt;260,"C",IF(H15&lt;550,"D","E"))))</f>
        <v>B</v>
      </c>
      <c r="N15" s="116" t="s">
        <v>255</v>
      </c>
      <c r="O15" s="108"/>
      <c r="P15" t="s">
        <v>255</v>
      </c>
      <c r="Q15">
        <v>5</v>
      </c>
      <c r="R15">
        <v>20</v>
      </c>
      <c r="S15">
        <v>30</v>
      </c>
      <c r="T15">
        <v>5</v>
      </c>
      <c r="U15">
        <v>55</v>
      </c>
      <c r="V15">
        <v>20</v>
      </c>
      <c r="W15">
        <v>5</v>
      </c>
      <c r="X15">
        <v>10</v>
      </c>
      <c r="Y15">
        <v>30</v>
      </c>
      <c r="Z15">
        <v>15</v>
      </c>
      <c r="AA15">
        <v>5</v>
      </c>
      <c r="AB15">
        <v>5</v>
      </c>
      <c r="AC15">
        <v>38</v>
      </c>
      <c r="AD15">
        <v>30</v>
      </c>
      <c r="AE15">
        <v>5</v>
      </c>
      <c r="AF15">
        <v>5</v>
      </c>
      <c r="AG15">
        <v>30</v>
      </c>
      <c r="AH15">
        <v>5</v>
      </c>
      <c r="AI15">
        <v>15</v>
      </c>
      <c r="AJ15">
        <v>75</v>
      </c>
      <c r="AK15">
        <v>80</v>
      </c>
      <c r="AL15">
        <v>5</v>
      </c>
      <c r="AM15">
        <v>5</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134.4445</v>
      </c>
      <c r="F17" s="44">
        <f>CONFIDENCE(0.05,G17,D17)</f>
        <v>3.7518067166673634</v>
      </c>
      <c r="G17" s="44">
        <f>STDEV(Q17:EC17)</f>
        <v>4.68886782709855</v>
      </c>
      <c r="H17" s="44">
        <f>QUARTILE(Q17:EC17,2)</f>
        <v>135.5</v>
      </c>
      <c r="I17" s="44">
        <f>MIN(Q17:EC17)</f>
        <v>129</v>
      </c>
      <c r="J17" s="44">
        <f>MAX(Q17:EC17)</f>
        <v>141</v>
      </c>
      <c r="K17" s="44">
        <f>PERCENTILE(Q17:EC17,0.95)</f>
        <v>139.91675</v>
      </c>
      <c r="L17" s="102" t="str">
        <f>IF(H17&gt;120,"A",IF(H17&gt;100,"B",IF(H17&gt;80,"C",IF(H17&gt;60,"D","E"))))</f>
        <v>A</v>
      </c>
      <c r="N17" s="116" t="s">
        <v>17</v>
      </c>
      <c r="O17" s="108"/>
      <c r="P17" t="s">
        <v>17</v>
      </c>
      <c r="Q17">
        <v>129</v>
      </c>
      <c r="U17">
        <v>136</v>
      </c>
      <c r="X17">
        <v>141</v>
      </c>
      <c r="AB17">
        <v>135</v>
      </c>
      <c r="AF17">
        <v>129</v>
      </c>
      <c r="AJ17">
        <v>136.667</v>
      </c>
    </row>
    <row r="18" spans="2:36" ht="12.75">
      <c r="B18" s="74"/>
      <c r="C18" s="96" t="s">
        <v>18</v>
      </c>
      <c r="D18" s="81">
        <f>COUNT(Q18:EC18)</f>
        <v>6</v>
      </c>
      <c r="E18" s="44">
        <f>AVERAGE(Q18:EC18)</f>
        <v>7.151833333333333</v>
      </c>
      <c r="F18" s="44">
        <f>CONFIDENCE(0.05,G18,D18)</f>
        <v>0.2179002930951799</v>
      </c>
      <c r="G18" s="44">
        <f>STDEV(Q18:EC18)</f>
        <v>0.27232364323844727</v>
      </c>
      <c r="H18" s="44">
        <f>QUARTILE(Q18:EC18,2)</f>
        <v>7.215</v>
      </c>
      <c r="I18" s="44">
        <f>MIN(Q18:EC18)</f>
        <v>6.711</v>
      </c>
      <c r="J18" s="44">
        <f>MAX(Q18:EC18)</f>
        <v>7.51</v>
      </c>
      <c r="K18" s="44">
        <f>PERCENTILE(Q18:EC18,0.95)</f>
        <v>7.449999999999999</v>
      </c>
      <c r="L18" s="105" t="str">
        <f>IF(H18&gt;6,"A",IF(H18&gt;5,"B",IF(H18&gt;4,"C",IF(H18&gt;3,"D","E"))))</f>
        <v>A</v>
      </c>
      <c r="N18" s="116" t="s">
        <v>18</v>
      </c>
      <c r="O18" s="108"/>
      <c r="P18" t="s">
        <v>18</v>
      </c>
      <c r="Q18">
        <v>7.21</v>
      </c>
      <c r="U18">
        <v>7.22</v>
      </c>
      <c r="X18">
        <v>7.27</v>
      </c>
      <c r="AB18">
        <v>7.51</v>
      </c>
      <c r="AF18">
        <v>6.99</v>
      </c>
      <c r="AJ18">
        <v>6.711</v>
      </c>
    </row>
    <row r="19" spans="2:36" ht="12.75">
      <c r="B19" s="71" t="s">
        <v>106</v>
      </c>
      <c r="C19" s="7" t="s">
        <v>19</v>
      </c>
      <c r="D19" s="86">
        <f>COUNT(Q19:EC19)</f>
        <v>7</v>
      </c>
      <c r="E19" s="113">
        <f>AVERAGE(Q19:EC19)</f>
        <v>8.872714285714286</v>
      </c>
      <c r="F19" s="113">
        <f>CONFIDENCE(0.05,G19,D19)</f>
        <v>0.9394785408987811</v>
      </c>
      <c r="G19" s="113">
        <f>STDEV(Q19:EC19)</f>
        <v>1.268200130668882</v>
      </c>
      <c r="H19" s="113">
        <f>QUARTILE(Q19:EC19,2)</f>
        <v>9.24</v>
      </c>
      <c r="I19" s="113">
        <f>MIN(Q19:EC19)</f>
        <v>6.4</v>
      </c>
      <c r="J19" s="113">
        <f>MAX(Q19:EC19)</f>
        <v>10</v>
      </c>
      <c r="K19" s="113">
        <f>PERCENTILE(Q19:EC19,0.95)</f>
        <v>9.94</v>
      </c>
      <c r="L19" s="102" t="str">
        <f>IF(H19&gt;8,"A",IF(H19&gt;6,"B",IF(H19&gt;4,"C",IF(H19&gt;2,"D","E"))))</f>
        <v>A</v>
      </c>
      <c r="N19" s="116" t="s">
        <v>96</v>
      </c>
      <c r="O19" s="108"/>
      <c r="P19" t="s">
        <v>96</v>
      </c>
      <c r="R19">
        <v>6.4</v>
      </c>
      <c r="S19">
        <v>8.32</v>
      </c>
      <c r="T19">
        <v>9.24</v>
      </c>
      <c r="X19">
        <v>9.8</v>
      </c>
      <c r="AB19">
        <v>9.8</v>
      </c>
      <c r="AF19">
        <v>10</v>
      </c>
      <c r="AJ19">
        <v>8.549</v>
      </c>
    </row>
    <row r="20" spans="2:36" ht="13.5" thickBot="1">
      <c r="B20" s="72"/>
      <c r="C20" s="97" t="s">
        <v>122</v>
      </c>
      <c r="D20" s="87">
        <f>COUNT(Q20:EC20)</f>
        <v>4</v>
      </c>
      <c r="E20" s="114">
        <f>AVERAGE(Q20:EC20)</f>
        <v>0</v>
      </c>
      <c r="F20" s="114" t="e">
        <f>CONFIDENCE(0.05,G20,D20)</f>
        <v>#NUM!</v>
      </c>
      <c r="G20" s="114">
        <f>STDEV(Q20:EC20)</f>
        <v>0</v>
      </c>
      <c r="H20" s="114">
        <f>QUARTILE(Q20:EC20,2)</f>
        <v>0</v>
      </c>
      <c r="I20" s="114">
        <f>MIN(Q20:EC20)</f>
        <v>0</v>
      </c>
      <c r="J20" s="114">
        <f>MAX(Q20:EC20)</f>
        <v>0</v>
      </c>
      <c r="K20" s="114">
        <f>PERCENTILE(Q20:EC20,0.95)</f>
        <v>0</v>
      </c>
      <c r="L20" s="105"/>
      <c r="N20" s="116" t="s">
        <v>97</v>
      </c>
      <c r="O20" s="108"/>
      <c r="P20" t="s">
        <v>97</v>
      </c>
      <c r="X20">
        <v>0</v>
      </c>
      <c r="AB20">
        <v>0</v>
      </c>
      <c r="AF20">
        <v>0</v>
      </c>
      <c r="AJ20">
        <v>0</v>
      </c>
    </row>
    <row r="21" spans="2:17" ht="12.75">
      <c r="B21" s="80"/>
      <c r="C21" s="89"/>
      <c r="D21" s="89"/>
      <c r="E21" s="89"/>
      <c r="F21" s="89"/>
      <c r="G21" s="89"/>
      <c r="H21" s="89"/>
      <c r="I21" s="89"/>
      <c r="J21" s="89"/>
      <c r="K21" s="89"/>
      <c r="L21" s="100"/>
      <c r="O21" s="108"/>
      <c r="Q21" s="20"/>
    </row>
    <row r="22" spans="2:17" ht="12.75">
      <c r="B22" s="210" t="s">
        <v>119</v>
      </c>
      <c r="C22" s="211"/>
      <c r="D22" s="211"/>
      <c r="E22" s="211"/>
      <c r="F22" s="211"/>
      <c r="G22" s="76" t="str">
        <f>'Combined Score Calcs'!AB10</f>
        <v>A</v>
      </c>
      <c r="H22" s="39"/>
      <c r="I22" s="39"/>
      <c r="J22" s="39"/>
      <c r="K22" s="99"/>
      <c r="L22" s="90"/>
      <c r="N22" s="111"/>
      <c r="O22" s="108"/>
      <c r="Q22" s="20"/>
    </row>
    <row r="23" spans="2:17" ht="13.5" thickBot="1">
      <c r="B23" s="83"/>
      <c r="C23" s="84"/>
      <c r="D23" s="84"/>
      <c r="E23" s="84"/>
      <c r="F23" s="84"/>
      <c r="G23" s="84"/>
      <c r="H23" s="84"/>
      <c r="I23" s="84"/>
      <c r="J23" s="84"/>
      <c r="K23" s="84"/>
      <c r="L23" s="91"/>
      <c r="N23" s="111"/>
      <c r="O23" s="108"/>
      <c r="Q23" s="20"/>
    </row>
    <row r="24" spans="12:17" ht="12.75">
      <c r="L24" s="60"/>
      <c r="N24" s="111"/>
      <c r="O24" s="108"/>
      <c r="Q24" s="20"/>
    </row>
    <row r="25" spans="12:15" ht="12.75">
      <c r="L25" s="60"/>
      <c r="O25" s="108"/>
    </row>
    <row r="26" spans="12:15" ht="12.75">
      <c r="L26" s="60"/>
      <c r="O26" s="108"/>
    </row>
    <row r="27" spans="12:15" ht="12.75">
      <c r="L27" s="60"/>
      <c r="O27" s="108"/>
    </row>
    <row r="28" spans="7:15" ht="12.75">
      <c r="G28" t="s">
        <v>140</v>
      </c>
      <c r="H28" t="s">
        <v>141</v>
      </c>
      <c r="L28" s="60"/>
      <c r="O28" s="108"/>
    </row>
    <row r="29" spans="5:15" ht="12.75">
      <c r="E29" s="158"/>
      <c r="F29" s="153"/>
      <c r="G29" s="118" t="s">
        <v>21</v>
      </c>
      <c r="H29" s="136">
        <v>1.5</v>
      </c>
      <c r="I29" s="137">
        <v>10</v>
      </c>
      <c r="J29" s="119"/>
      <c r="K29" s="119"/>
      <c r="L29" s="60"/>
      <c r="O29" s="108"/>
    </row>
    <row r="30" spans="5:12" ht="12.75">
      <c r="E30" s="158"/>
      <c r="F30" s="153"/>
      <c r="G30" s="122" t="s">
        <v>22</v>
      </c>
      <c r="H30" s="137">
        <v>65</v>
      </c>
      <c r="I30" s="137">
        <v>270</v>
      </c>
      <c r="J30" s="119"/>
      <c r="K30" s="119"/>
      <c r="L30" s="60"/>
    </row>
    <row r="31" spans="5:12" ht="12.75">
      <c r="E31" s="158"/>
      <c r="F31" s="153"/>
      <c r="G31" s="122" t="s">
        <v>23</v>
      </c>
      <c r="H31" s="137">
        <v>50</v>
      </c>
      <c r="I31" s="137">
        <v>220</v>
      </c>
      <c r="J31" s="119"/>
      <c r="K31" s="119"/>
      <c r="L31" s="60"/>
    </row>
    <row r="32" spans="5:12" ht="12.75">
      <c r="E32" s="158"/>
      <c r="F32" s="153"/>
      <c r="G32" s="122" t="s">
        <v>24</v>
      </c>
      <c r="H32" s="137">
        <v>200</v>
      </c>
      <c r="I32" s="137">
        <v>210</v>
      </c>
      <c r="J32" s="119"/>
      <c r="K32" s="119"/>
      <c r="L32" s="60"/>
    </row>
    <row r="33" spans="7:12" ht="12.75">
      <c r="G33" s="122"/>
      <c r="H33" t="s">
        <v>137</v>
      </c>
      <c r="I33" t="s">
        <v>138</v>
      </c>
      <c r="L33" s="60"/>
    </row>
    <row r="34" ht="12.75">
      <c r="L34" s="60"/>
    </row>
    <row r="35" ht="12.75">
      <c r="L35" s="60"/>
    </row>
    <row r="36" spans="5:12" ht="12.75">
      <c r="E36" s="158"/>
      <c r="F36" s="153"/>
      <c r="G36" s="119"/>
      <c r="H36" s="119"/>
      <c r="I36" s="119"/>
      <c r="J36" s="119"/>
      <c r="K36" s="119"/>
      <c r="L36" s="60"/>
    </row>
    <row r="37" spans="5:12" ht="12.75">
      <c r="E37" s="158"/>
      <c r="F37" s="153"/>
      <c r="G37" s="119"/>
      <c r="H37" s="119"/>
      <c r="I37" s="119"/>
      <c r="J37" s="119"/>
      <c r="K37" s="119"/>
      <c r="L37" s="60"/>
    </row>
    <row r="38" spans="5:12" ht="12.75">
      <c r="E38" s="158"/>
      <c r="F38" s="153"/>
      <c r="G38" s="119"/>
      <c r="H38" s="119"/>
      <c r="I38" s="119"/>
      <c r="J38" s="119"/>
      <c r="K38" s="119"/>
      <c r="L38" s="60"/>
    </row>
    <row r="39" spans="5:12" ht="12.75">
      <c r="E39" s="158"/>
      <c r="F39" s="153"/>
      <c r="G39" s="119"/>
      <c r="H39" s="119"/>
      <c r="I39" s="119"/>
      <c r="J39" s="119"/>
      <c r="K39" s="119"/>
      <c r="L39" s="60"/>
    </row>
    <row r="40" spans="5:12" ht="12.75">
      <c r="E40" s="158"/>
      <c r="F40" s="153"/>
      <c r="G40" s="119"/>
      <c r="H40" s="119"/>
      <c r="I40" s="119"/>
      <c r="J40" s="119"/>
      <c r="K40" s="119"/>
      <c r="L40" s="60"/>
    </row>
    <row r="41" spans="5:12" ht="12.75">
      <c r="E41" s="158"/>
      <c r="F41" s="153"/>
      <c r="G41" s="119"/>
      <c r="H41" s="119"/>
      <c r="I41" s="119"/>
      <c r="J41" s="119"/>
      <c r="K41" s="119"/>
      <c r="L41" s="60"/>
    </row>
    <row r="42" ht="12.75">
      <c r="L42" s="60"/>
    </row>
  </sheetData>
  <mergeCells count="1">
    <mergeCell ref="B22:F22"/>
  </mergeCells>
  <printOptions/>
  <pageMargins left="0.75" right="0.75" top="1" bottom="1" header="0.5" footer="0.5"/>
  <pageSetup horizontalDpi="600" verticalDpi="600" orientation="portrait" paperSize="133" r:id="rId1"/>
</worksheet>
</file>

<file path=xl/worksheets/sheet6.xml><?xml version="1.0" encoding="utf-8"?>
<worksheet xmlns="http://schemas.openxmlformats.org/spreadsheetml/2006/main" xmlns:r="http://schemas.openxmlformats.org/officeDocument/2006/relationships">
  <dimension ref="B1:AQ42"/>
  <sheetViews>
    <sheetView workbookViewId="0" topLeftCell="A1">
      <selection activeCell="B3" sqref="B3:L23"/>
    </sheetView>
  </sheetViews>
  <sheetFormatPr defaultColWidth="9.140625" defaultRowHeight="12.75"/>
  <cols>
    <col min="3" max="3" width="28.7109375" style="0" bestFit="1" customWidth="1"/>
    <col min="14" max="14" width="34.140625" style="0" customWidth="1"/>
    <col min="16" max="16" width="33.57421875" style="0" customWidth="1"/>
    <col min="17" max="17" width="14.421875" style="0" bestFit="1" customWidth="1"/>
  </cols>
  <sheetData>
    <row r="1" spans="2:15" ht="15.75">
      <c r="B1" s="107" t="s">
        <v>160</v>
      </c>
      <c r="O1" s="109" t="s">
        <v>125</v>
      </c>
    </row>
    <row r="2" spans="12:39" ht="13.5" thickBot="1">
      <c r="L2" s="60"/>
      <c r="N2" s="116" t="s">
        <v>84</v>
      </c>
      <c r="O2" s="110"/>
      <c r="P2" t="s">
        <v>84</v>
      </c>
      <c r="Q2" t="s">
        <v>65</v>
      </c>
      <c r="R2" t="s">
        <v>65</v>
      </c>
      <c r="S2" t="s">
        <v>65</v>
      </c>
      <c r="T2" t="s">
        <v>65</v>
      </c>
      <c r="U2" t="s">
        <v>65</v>
      </c>
      <c r="V2" t="s">
        <v>65</v>
      </c>
      <c r="W2" t="s">
        <v>65</v>
      </c>
      <c r="X2" t="s">
        <v>65</v>
      </c>
      <c r="Y2" t="s">
        <v>65</v>
      </c>
      <c r="Z2" t="s">
        <v>65</v>
      </c>
      <c r="AA2" t="s">
        <v>65</v>
      </c>
      <c r="AB2" t="s">
        <v>65</v>
      </c>
      <c r="AC2" t="s">
        <v>65</v>
      </c>
      <c r="AD2" t="s">
        <v>65</v>
      </c>
      <c r="AE2" t="s">
        <v>65</v>
      </c>
      <c r="AF2" t="s">
        <v>65</v>
      </c>
      <c r="AG2" t="s">
        <v>65</v>
      </c>
      <c r="AH2" t="s">
        <v>65</v>
      </c>
      <c r="AI2" t="s">
        <v>65</v>
      </c>
      <c r="AJ2" t="s">
        <v>65</v>
      </c>
      <c r="AK2" t="s">
        <v>65</v>
      </c>
      <c r="AL2" t="s">
        <v>65</v>
      </c>
      <c r="AM2" t="s">
        <v>65</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36833.50347222222</v>
      </c>
      <c r="R3" s="64">
        <v>36921.42013888889</v>
      </c>
      <c r="S3" s="64">
        <v>37013.42361111111</v>
      </c>
      <c r="T3" s="64">
        <v>37112.57638888889</v>
      </c>
      <c r="U3" s="64">
        <v>37222.71875</v>
      </c>
      <c r="V3" s="64">
        <v>37384.631944444445</v>
      </c>
      <c r="W3" s="64">
        <v>37475.520833333336</v>
      </c>
      <c r="X3" s="64">
        <v>37586.625</v>
      </c>
      <c r="Y3" s="64">
        <v>37649.625</v>
      </c>
      <c r="Z3" s="64">
        <v>37747.59722222222</v>
      </c>
      <c r="AA3" s="64">
        <v>37838.572916666664</v>
      </c>
      <c r="AB3" s="64">
        <v>37950.604166666664</v>
      </c>
      <c r="AC3" s="64">
        <v>38027.67013888889</v>
      </c>
      <c r="AD3" s="64">
        <v>38111.6875</v>
      </c>
      <c r="AE3" s="64">
        <v>38202.61875</v>
      </c>
      <c r="AF3" s="64">
        <v>38336.65972222222</v>
      </c>
      <c r="AG3" s="64">
        <v>38393.61111111111</v>
      </c>
      <c r="AH3" s="64">
        <v>38478.49097222222</v>
      </c>
      <c r="AI3" s="64">
        <v>38594.525</v>
      </c>
      <c r="AJ3" s="64">
        <v>38681.354166666664</v>
      </c>
      <c r="AK3" s="64">
        <v>38777.50763888889</v>
      </c>
      <c r="AL3" s="64">
        <v>38870.506944444445</v>
      </c>
      <c r="AM3" s="64">
        <v>38960.635416666664</v>
      </c>
      <c r="AO3" s="64"/>
      <c r="AP3" s="64"/>
      <c r="AQ3" s="64"/>
    </row>
    <row r="4" spans="2:39" ht="12.75">
      <c r="B4" s="68" t="s">
        <v>103</v>
      </c>
      <c r="C4" s="93" t="s">
        <v>4</v>
      </c>
      <c r="D4" s="81">
        <f>COUNT(Q4:EC4)</f>
        <v>20</v>
      </c>
      <c r="E4" s="82">
        <f>AVERAGE(Q4:EC4)</f>
        <v>0.033850000000000005</v>
      </c>
      <c r="F4" s="82">
        <f aca="true" t="shared" si="0" ref="F4:F15">CONFIDENCE(0.05,G4,D4)</f>
        <v>0.011113890866553603</v>
      </c>
      <c r="G4" s="82">
        <f>STDEV(Q4:EC4)</f>
        <v>0.025359053195010414</v>
      </c>
      <c r="H4" s="82">
        <f>QUARTILE(Q4:EC4,2)</f>
        <v>0.028999999999999998</v>
      </c>
      <c r="I4" s="82">
        <f>MIN(Q4:EC4)</f>
        <v>0.005</v>
      </c>
      <c r="J4" s="82">
        <f>MAX(Q4:EC4)</f>
        <v>0.09</v>
      </c>
      <c r="K4" s="82">
        <f>PERCENTILE(Q4:EC4,0.95)</f>
        <v>0.09</v>
      </c>
      <c r="L4" s="102" t="str">
        <f>IF((H4+H5)&lt;0.08,"A",IF((H4+H5)&lt;0.12,"B",IF((H4+H5)&lt;0.295,"C",IF((H4+H5)&lt;0.444,"D","E"))))</f>
        <v>A</v>
      </c>
      <c r="N4" s="116" t="s">
        <v>86</v>
      </c>
      <c r="O4" s="108"/>
      <c r="P4" t="s">
        <v>86</v>
      </c>
      <c r="R4">
        <v>0.09</v>
      </c>
      <c r="S4">
        <v>0.09</v>
      </c>
      <c r="V4">
        <v>0.051</v>
      </c>
      <c r="W4">
        <v>0.067</v>
      </c>
      <c r="X4">
        <v>0.009</v>
      </c>
      <c r="Y4">
        <v>0.016</v>
      </c>
      <c r="Z4">
        <v>0.046</v>
      </c>
      <c r="AA4">
        <v>0.032</v>
      </c>
      <c r="AB4">
        <v>0.006</v>
      </c>
      <c r="AC4">
        <v>0.014</v>
      </c>
      <c r="AD4">
        <v>0.043</v>
      </c>
      <c r="AE4">
        <v>0.032</v>
      </c>
      <c r="AF4">
        <v>0.005</v>
      </c>
      <c r="AG4">
        <v>0.022</v>
      </c>
      <c r="AH4">
        <v>0.036</v>
      </c>
      <c r="AI4">
        <v>0.026</v>
      </c>
      <c r="AJ4">
        <v>0.007</v>
      </c>
      <c r="AK4">
        <v>0.043</v>
      </c>
      <c r="AL4">
        <v>0.022</v>
      </c>
      <c r="AM4">
        <v>0.02</v>
      </c>
    </row>
    <row r="5" spans="2:39" ht="12.75">
      <c r="B5" s="69"/>
      <c r="C5" s="5" t="s">
        <v>5</v>
      </c>
      <c r="D5" s="73">
        <f>COUNT(Q5:EC5)</f>
        <v>18</v>
      </c>
      <c r="E5" s="112">
        <f>AVERAGE(Q5:EC5)</f>
        <v>0.005500000000000001</v>
      </c>
      <c r="F5" s="112">
        <f t="shared" si="0"/>
        <v>0.0005981495877942028</v>
      </c>
      <c r="G5" s="112">
        <f>STDEV(Q5:EC5)</f>
        <v>0.0012947859237091265</v>
      </c>
      <c r="H5" s="112">
        <f>QUARTILE(Q5:EC5,2)</f>
        <v>0.005</v>
      </c>
      <c r="I5" s="112">
        <f>MIN(Q5:EC5)</f>
        <v>0.005</v>
      </c>
      <c r="J5" s="112">
        <f>MAX(Q5:EC5)</f>
        <v>0.01</v>
      </c>
      <c r="K5" s="112">
        <f>PERCENTILE(Q5:EC5,0.95)</f>
        <v>0.007449999999999996</v>
      </c>
      <c r="L5" s="102"/>
      <c r="N5" s="116" t="s">
        <v>87</v>
      </c>
      <c r="O5" s="108"/>
      <c r="P5" t="s">
        <v>87</v>
      </c>
      <c r="V5">
        <v>0.005</v>
      </c>
      <c r="W5">
        <v>0.01</v>
      </c>
      <c r="X5">
        <v>0.007</v>
      </c>
      <c r="Y5">
        <v>0.005</v>
      </c>
      <c r="Z5">
        <v>0.007</v>
      </c>
      <c r="AA5">
        <v>0.005</v>
      </c>
      <c r="AB5">
        <v>0.005</v>
      </c>
      <c r="AC5">
        <v>0.005</v>
      </c>
      <c r="AD5">
        <v>0.005</v>
      </c>
      <c r="AE5">
        <v>0.005</v>
      </c>
      <c r="AF5">
        <v>0.005</v>
      </c>
      <c r="AG5">
        <v>0.005</v>
      </c>
      <c r="AH5">
        <v>0.005</v>
      </c>
      <c r="AI5">
        <v>0.005</v>
      </c>
      <c r="AJ5">
        <v>0.005</v>
      </c>
      <c r="AK5">
        <v>0.005</v>
      </c>
      <c r="AL5">
        <v>0.005</v>
      </c>
      <c r="AM5">
        <v>0.005</v>
      </c>
    </row>
    <row r="6" spans="2:39" ht="12.75">
      <c r="B6" s="70"/>
      <c r="C6" s="94" t="s">
        <v>6</v>
      </c>
      <c r="D6" s="73">
        <f>COUNT(Q6:EC6)</f>
        <v>23</v>
      </c>
      <c r="E6" s="112">
        <f>AVERAGE(Q6:EC6)</f>
        <v>0.012434782608695657</v>
      </c>
      <c r="F6" s="112">
        <f t="shared" si="0"/>
        <v>0.00240780121245435</v>
      </c>
      <c r="G6" s="112">
        <f>STDEV(Q6:EC6)</f>
        <v>0.005891643442248759</v>
      </c>
      <c r="H6" s="112">
        <f>QUARTILE(Q6:EC6,2)</f>
        <v>0.011</v>
      </c>
      <c r="I6" s="112">
        <f>MIN(Q6:EC6)</f>
        <v>0.007</v>
      </c>
      <c r="J6" s="112">
        <f>MAX(Q6:EC6)</f>
        <v>0.036</v>
      </c>
      <c r="K6" s="112">
        <f>PERCENTILE(Q6:EC6,0.95)</f>
        <v>0.0179</v>
      </c>
      <c r="L6" s="102" t="str">
        <f>IF((H6)&lt;0.005,"A",IF((H6)&lt;0.008,"B",IF((H6)&lt;0.026,"C",IF((H6)&lt;0.05,"D","E"))))</f>
        <v>C</v>
      </c>
      <c r="N6" s="116" t="s">
        <v>88</v>
      </c>
      <c r="O6" s="108"/>
      <c r="P6" t="s">
        <v>88</v>
      </c>
      <c r="Q6">
        <v>0.009</v>
      </c>
      <c r="R6">
        <v>0.015</v>
      </c>
      <c r="S6">
        <v>0.036</v>
      </c>
      <c r="T6">
        <v>0.013</v>
      </c>
      <c r="U6">
        <v>0.01</v>
      </c>
      <c r="V6">
        <v>0.014</v>
      </c>
      <c r="W6">
        <v>0.008</v>
      </c>
      <c r="X6">
        <v>0.007</v>
      </c>
      <c r="Y6">
        <v>0.012</v>
      </c>
      <c r="Z6">
        <v>0.018</v>
      </c>
      <c r="AA6">
        <v>0.017</v>
      </c>
      <c r="AB6">
        <v>0.01</v>
      </c>
      <c r="AC6">
        <v>0.011</v>
      </c>
      <c r="AD6">
        <v>0.01</v>
      </c>
      <c r="AE6">
        <v>0.009</v>
      </c>
      <c r="AF6">
        <v>0.009</v>
      </c>
      <c r="AG6">
        <v>0.014</v>
      </c>
      <c r="AH6">
        <v>0.011</v>
      </c>
      <c r="AI6">
        <v>0.009</v>
      </c>
      <c r="AJ6">
        <v>0.012</v>
      </c>
      <c r="AK6">
        <v>0.014</v>
      </c>
      <c r="AL6">
        <v>0.009</v>
      </c>
      <c r="AM6">
        <v>0.009</v>
      </c>
    </row>
    <row r="7" spans="2:39" ht="12.75">
      <c r="B7" s="71" t="s">
        <v>104</v>
      </c>
      <c r="C7" s="6" t="s">
        <v>7</v>
      </c>
      <c r="D7" s="86">
        <f>COUNT(Q7:EC7)</f>
        <v>23</v>
      </c>
      <c r="E7" s="113">
        <f>AVERAGE(Q7:EC7)</f>
        <v>7.805217391304348</v>
      </c>
      <c r="F7" s="113">
        <f t="shared" si="0"/>
        <v>0.10709583250798811</v>
      </c>
      <c r="G7" s="113">
        <f>STDEV(Q7:EC7)</f>
        <v>0.26205255484720474</v>
      </c>
      <c r="H7" s="113">
        <f>QUARTILE(Q7:EC7,2)</f>
        <v>7.79</v>
      </c>
      <c r="I7" s="113">
        <f>MIN(Q7:EC7)</f>
        <v>7.15</v>
      </c>
      <c r="J7" s="113">
        <f>MAX(Q7:EC7)</f>
        <v>8.2</v>
      </c>
      <c r="K7" s="113">
        <f>PERCENTILE(Q7:EC7,0.95)</f>
        <v>8.17</v>
      </c>
      <c r="L7" s="103" t="str">
        <f>IF(AND(7.2&lt;H7,H7&lt;9),"A",IF(AND(7.2&lt;=H7,H7&lt;=9),"B",IF(AND(6.5&lt;=H7,H7&lt;=9),"C",IF(AND(6.5&lt;=H7,H7&lt;=10),"D","E"))))</f>
        <v>A</v>
      </c>
      <c r="N7" s="116" t="s">
        <v>89</v>
      </c>
      <c r="O7" s="108"/>
      <c r="P7" t="s">
        <v>89</v>
      </c>
      <c r="Q7">
        <v>8.18</v>
      </c>
      <c r="R7">
        <v>7.77</v>
      </c>
      <c r="S7">
        <v>8.2</v>
      </c>
      <c r="T7">
        <v>7.72</v>
      </c>
      <c r="U7">
        <v>7.79</v>
      </c>
      <c r="V7">
        <v>8.02</v>
      </c>
      <c r="W7">
        <v>7.98</v>
      </c>
      <c r="X7">
        <v>7.94</v>
      </c>
      <c r="Y7">
        <v>8.03</v>
      </c>
      <c r="Z7">
        <v>8.08</v>
      </c>
      <c r="AA7">
        <v>7.76</v>
      </c>
      <c r="AB7">
        <v>7.81</v>
      </c>
      <c r="AC7">
        <v>7.67</v>
      </c>
      <c r="AD7">
        <v>7.15</v>
      </c>
      <c r="AE7">
        <v>7.72</v>
      </c>
      <c r="AF7">
        <v>7.99</v>
      </c>
      <c r="AG7">
        <v>7.61</v>
      </c>
      <c r="AH7">
        <v>7.62</v>
      </c>
      <c r="AI7">
        <v>7.58</v>
      </c>
      <c r="AJ7">
        <v>7.79</v>
      </c>
      <c r="AK7">
        <v>7.23</v>
      </c>
      <c r="AL7">
        <v>7.9</v>
      </c>
      <c r="AM7">
        <v>7.98</v>
      </c>
    </row>
    <row r="8" spans="2:39" ht="12.75">
      <c r="B8" s="71"/>
      <c r="C8" s="6" t="s">
        <v>8</v>
      </c>
      <c r="D8" s="81">
        <f>COUNT(Q8:EC8)</f>
        <v>23</v>
      </c>
      <c r="E8" s="44">
        <f>AVERAGE(Q8:EC8)</f>
        <v>11.455217391304346</v>
      </c>
      <c r="F8" s="44">
        <f t="shared" si="0"/>
        <v>1.0876331731518676</v>
      </c>
      <c r="G8" s="44">
        <f>STDEV(Q8:EC8)</f>
        <v>2.661327197206858</v>
      </c>
      <c r="H8" s="44">
        <f>QUARTILE(Q8:EC8,2)</f>
        <v>10.8</v>
      </c>
      <c r="I8" s="44">
        <f>MIN(Q8:EC8)</f>
        <v>7.9</v>
      </c>
      <c r="J8" s="44">
        <f>MAX(Q8:EC8)</f>
        <v>17.6</v>
      </c>
      <c r="K8" s="44">
        <f>PERCENTILE(Q8:EC8,0.95)</f>
        <v>15.879999999999999</v>
      </c>
      <c r="L8" s="102" t="str">
        <f>IF(H8&lt;18,"A",IF(H8&lt;20,"B",IF(H8&lt;22,"C",IF(H8&lt;25,"D","E"))))</f>
        <v>A</v>
      </c>
      <c r="N8" s="116" t="s">
        <v>90</v>
      </c>
      <c r="O8" s="108"/>
      <c r="P8" t="s">
        <v>90</v>
      </c>
      <c r="Q8">
        <v>10.8</v>
      </c>
      <c r="R8">
        <v>14.8</v>
      </c>
      <c r="S8">
        <v>10.8</v>
      </c>
      <c r="T8">
        <v>10.3</v>
      </c>
      <c r="U8">
        <v>12.5</v>
      </c>
      <c r="V8">
        <v>10.67</v>
      </c>
      <c r="W8">
        <v>8.9</v>
      </c>
      <c r="X8">
        <v>14.1</v>
      </c>
      <c r="Y8">
        <v>14.7</v>
      </c>
      <c r="Z8">
        <v>8.3</v>
      </c>
      <c r="AA8">
        <v>8.8</v>
      </c>
      <c r="AB8">
        <v>12.3</v>
      </c>
      <c r="AC8">
        <v>16</v>
      </c>
      <c r="AD8">
        <v>11.6</v>
      </c>
      <c r="AE8">
        <v>7.9</v>
      </c>
      <c r="AF8">
        <v>12.9</v>
      </c>
      <c r="AG8">
        <v>17.6</v>
      </c>
      <c r="AH8">
        <v>9.1</v>
      </c>
      <c r="AI8">
        <v>9.83</v>
      </c>
      <c r="AJ8">
        <v>10.62</v>
      </c>
      <c r="AK8">
        <v>13.2</v>
      </c>
      <c r="AL8">
        <v>8.35</v>
      </c>
      <c r="AM8">
        <v>9.4</v>
      </c>
    </row>
    <row r="9" spans="2:39" ht="12.75">
      <c r="B9" s="71"/>
      <c r="C9" s="7" t="s">
        <v>9</v>
      </c>
      <c r="D9" s="81">
        <f>COUNT(Q9:EC9)</f>
        <v>23</v>
      </c>
      <c r="E9" s="44">
        <f>AVERAGE(Q9:EC9)</f>
        <v>102.91739130434784</v>
      </c>
      <c r="F9" s="44">
        <f t="shared" si="0"/>
        <v>2.2829543590522205</v>
      </c>
      <c r="G9" s="44">
        <f>STDEV(Q9:EC9)</f>
        <v>5.586155953776953</v>
      </c>
      <c r="H9" s="44">
        <f>QUARTILE(Q9:EC9,2)</f>
        <v>101.9</v>
      </c>
      <c r="I9" s="44">
        <f>MIN(Q9:EC9)</f>
        <v>96.3</v>
      </c>
      <c r="J9" s="44">
        <f>MAX(Q9:EC9)</f>
        <v>121.5</v>
      </c>
      <c r="K9" s="44">
        <f>PERCENTILE(Q9:EC9,0.95)</f>
        <v>114.35</v>
      </c>
      <c r="L9" s="104" t="str">
        <f>IF(AND(99&lt;=H9,H9&lt;=103),"A",IF(AND(98&lt;=H9,H9&lt;=105),"B",IF(H9&gt;90,"C",IF(H9&gt;80,"D","E"))))</f>
        <v>A</v>
      </c>
      <c r="N9" s="116" t="s">
        <v>91</v>
      </c>
      <c r="O9" s="108"/>
      <c r="P9" t="s">
        <v>91</v>
      </c>
      <c r="Q9">
        <v>102.2</v>
      </c>
      <c r="R9">
        <v>97.3</v>
      </c>
      <c r="S9">
        <v>96.3</v>
      </c>
      <c r="T9">
        <v>99.8</v>
      </c>
      <c r="U9">
        <v>102.8</v>
      </c>
      <c r="V9">
        <v>102.2</v>
      </c>
      <c r="W9">
        <v>108.5</v>
      </c>
      <c r="X9">
        <v>103.6</v>
      </c>
      <c r="Y9">
        <v>121.5</v>
      </c>
      <c r="Z9">
        <v>99.6</v>
      </c>
      <c r="AA9">
        <v>100.5</v>
      </c>
      <c r="AB9">
        <v>101.5</v>
      </c>
      <c r="AC9">
        <v>102.5</v>
      </c>
      <c r="AD9">
        <v>101.2</v>
      </c>
      <c r="AE9">
        <v>98.9</v>
      </c>
      <c r="AF9">
        <v>105.2</v>
      </c>
      <c r="AG9">
        <v>105</v>
      </c>
      <c r="AH9">
        <v>99.8</v>
      </c>
      <c r="AI9">
        <v>115</v>
      </c>
      <c r="AJ9">
        <v>99.5</v>
      </c>
      <c r="AK9">
        <v>100.4</v>
      </c>
      <c r="AL9">
        <v>101.9</v>
      </c>
      <c r="AM9">
        <v>101.9</v>
      </c>
    </row>
    <row r="10" spans="2:39" ht="12.75">
      <c r="B10" s="71"/>
      <c r="C10" s="6" t="s">
        <v>10</v>
      </c>
      <c r="D10" s="81">
        <f>COUNT(Q10:EC10)</f>
        <v>23</v>
      </c>
      <c r="E10" s="44">
        <f>AVERAGE(Q10:EC10)</f>
        <v>11.241739130434782</v>
      </c>
      <c r="F10" s="44">
        <f t="shared" si="0"/>
        <v>0.3224805168785113</v>
      </c>
      <c r="G10" s="44">
        <f>STDEV(Q10:EC10)</f>
        <v>0.789076860952155</v>
      </c>
      <c r="H10" s="44">
        <f>QUARTILE(Q10:EC10,2)</f>
        <v>11.12</v>
      </c>
      <c r="I10" s="44">
        <f>MIN(Q10:EC10)</f>
        <v>9.87</v>
      </c>
      <c r="J10" s="44">
        <f>MAX(Q10:EC10)</f>
        <v>13.03</v>
      </c>
      <c r="K10" s="44">
        <f>PERCENTILE(Q10:EC10,0.95)</f>
        <v>12.549</v>
      </c>
      <c r="L10" s="102"/>
      <c r="N10" s="116" t="s">
        <v>92</v>
      </c>
      <c r="O10" s="108"/>
      <c r="P10" t="s">
        <v>92</v>
      </c>
      <c r="Q10">
        <v>11.36</v>
      </c>
      <c r="R10">
        <v>9.87</v>
      </c>
      <c r="S10">
        <v>10.75</v>
      </c>
      <c r="T10">
        <v>10.91</v>
      </c>
      <c r="U10">
        <v>10.88</v>
      </c>
      <c r="V10">
        <v>11.35</v>
      </c>
      <c r="W10">
        <v>12.58</v>
      </c>
      <c r="X10">
        <v>10.64</v>
      </c>
      <c r="Y10">
        <v>12.27</v>
      </c>
      <c r="Z10">
        <v>11.71</v>
      </c>
      <c r="AA10">
        <v>11.66</v>
      </c>
      <c r="AB10">
        <v>10.86</v>
      </c>
      <c r="AC10">
        <v>10.11</v>
      </c>
      <c r="AD10">
        <v>11.01</v>
      </c>
      <c r="AE10">
        <v>11.75</v>
      </c>
      <c r="AF10">
        <v>11.12</v>
      </c>
      <c r="AG10">
        <v>10.03</v>
      </c>
      <c r="AH10">
        <v>11.5</v>
      </c>
      <c r="AI10">
        <v>13.03</v>
      </c>
      <c r="AJ10">
        <v>11.03</v>
      </c>
      <c r="AK10">
        <v>10.53</v>
      </c>
      <c r="AL10">
        <v>11.93</v>
      </c>
      <c r="AM10">
        <v>11.68</v>
      </c>
    </row>
    <row r="11" spans="2:39" ht="12.75">
      <c r="B11" s="72"/>
      <c r="C11" s="95" t="s">
        <v>11</v>
      </c>
      <c r="D11" s="87">
        <f>COUNT(Q11:EC11)</f>
        <v>23</v>
      </c>
      <c r="E11" s="115">
        <f>AVERAGE(Q11:EC11)</f>
        <v>125.61739130434782</v>
      </c>
      <c r="F11" s="115">
        <f t="shared" si="0"/>
        <v>9.740755096963793</v>
      </c>
      <c r="G11" s="115">
        <f>STDEV(Q11:EC11)</f>
        <v>23.834632025572983</v>
      </c>
      <c r="H11" s="115">
        <f>QUARTILE(Q11:EC11,2)</f>
        <v>128</v>
      </c>
      <c r="I11" s="115">
        <f>MIN(Q11:EC11)</f>
        <v>76</v>
      </c>
      <c r="J11" s="115">
        <f>MAX(Q11:EC11)</f>
        <v>170.3</v>
      </c>
      <c r="K11" s="115">
        <f>PERCENTILE(Q11:EC11,0.95)</f>
        <v>159.64</v>
      </c>
      <c r="L11" s="105"/>
      <c r="N11" s="116" t="s">
        <v>93</v>
      </c>
      <c r="O11" s="108"/>
      <c r="P11" t="s">
        <v>93</v>
      </c>
      <c r="Q11">
        <v>133.4</v>
      </c>
      <c r="R11">
        <v>156.4</v>
      </c>
      <c r="S11">
        <v>170.3</v>
      </c>
      <c r="T11">
        <v>98.3</v>
      </c>
      <c r="U11">
        <v>96.8</v>
      </c>
      <c r="V11">
        <v>76</v>
      </c>
      <c r="W11">
        <v>129</v>
      </c>
      <c r="X11">
        <v>142</v>
      </c>
      <c r="Y11">
        <v>140</v>
      </c>
      <c r="Z11">
        <v>147</v>
      </c>
      <c r="AA11">
        <v>130</v>
      </c>
      <c r="AB11">
        <v>127</v>
      </c>
      <c r="AC11">
        <v>112</v>
      </c>
      <c r="AD11">
        <v>92</v>
      </c>
      <c r="AE11">
        <v>99</v>
      </c>
      <c r="AF11">
        <v>123</v>
      </c>
      <c r="AG11">
        <v>128</v>
      </c>
      <c r="AH11">
        <v>141</v>
      </c>
      <c r="AI11">
        <v>106</v>
      </c>
      <c r="AJ11">
        <v>147</v>
      </c>
      <c r="AK11">
        <v>160</v>
      </c>
      <c r="AL11">
        <v>112</v>
      </c>
      <c r="AM11">
        <v>123</v>
      </c>
    </row>
    <row r="12" spans="2:39" ht="12.75">
      <c r="B12" s="68" t="s">
        <v>105</v>
      </c>
      <c r="C12" s="4" t="s">
        <v>12</v>
      </c>
      <c r="D12" s="81">
        <f>COUNT(Q12:EC12)</f>
        <v>23</v>
      </c>
      <c r="E12" s="82">
        <f>AVERAGE(Q12:EC12)</f>
        <v>1.1073913043478263</v>
      </c>
      <c r="F12" s="82">
        <f t="shared" si="0"/>
        <v>0.4079020527485162</v>
      </c>
      <c r="G12" s="82">
        <f>STDEV(Q12:EC12)</f>
        <v>0.9980946274654996</v>
      </c>
      <c r="H12" s="82">
        <f>QUARTILE(Q12:EC12,2)</f>
        <v>0.81</v>
      </c>
      <c r="I12" s="82">
        <f>MIN(Q12:EC12)</f>
        <v>0.49</v>
      </c>
      <c r="J12" s="82">
        <f>MAX(Q12:EC12)</f>
        <v>5.12</v>
      </c>
      <c r="K12" s="82">
        <f>PERCENTILE(Q12:EC12,0.95)</f>
        <v>2.429999999999999</v>
      </c>
      <c r="L12" s="102" t="str">
        <f>IF(H12&lt;1,"A",IF(H12&lt;2,"B",IF(H12&lt;3,"C",IF(H12&lt;5,"D","E"))))</f>
        <v>A</v>
      </c>
      <c r="N12" s="116" t="s">
        <v>94</v>
      </c>
      <c r="O12" s="108"/>
      <c r="P12" t="s">
        <v>94</v>
      </c>
      <c r="Q12">
        <v>0.49</v>
      </c>
      <c r="R12">
        <v>0.7</v>
      </c>
      <c r="S12">
        <v>0.71</v>
      </c>
      <c r="T12">
        <v>1.8</v>
      </c>
      <c r="U12">
        <v>1.08</v>
      </c>
      <c r="V12">
        <v>0.63</v>
      </c>
      <c r="W12">
        <v>0.81</v>
      </c>
      <c r="X12">
        <v>0.66</v>
      </c>
      <c r="Y12">
        <v>0.61</v>
      </c>
      <c r="Z12">
        <v>0.57</v>
      </c>
      <c r="AA12">
        <v>0.81</v>
      </c>
      <c r="AB12">
        <v>0.52</v>
      </c>
      <c r="AC12">
        <v>0.5</v>
      </c>
      <c r="AD12">
        <v>5.12</v>
      </c>
      <c r="AE12">
        <v>0.93</v>
      </c>
      <c r="AF12">
        <v>1.04</v>
      </c>
      <c r="AG12">
        <v>0.67</v>
      </c>
      <c r="AH12">
        <v>0.61</v>
      </c>
      <c r="AI12">
        <v>1.2</v>
      </c>
      <c r="AJ12">
        <v>0.81</v>
      </c>
      <c r="AK12">
        <v>1.08</v>
      </c>
      <c r="AL12">
        <v>2.5</v>
      </c>
      <c r="AM12">
        <v>1.62</v>
      </c>
    </row>
    <row r="13" spans="2:39" ht="12.75">
      <c r="B13" s="71"/>
      <c r="C13" s="6" t="s">
        <v>13</v>
      </c>
      <c r="D13" s="81">
        <f>COUNT(Q13:EC13)</f>
        <v>23</v>
      </c>
      <c r="E13" s="44">
        <f>AVERAGE(Q13:EC13)</f>
        <v>4.501739130434783</v>
      </c>
      <c r="F13" s="44">
        <f t="shared" si="0"/>
        <v>0.5150138807407654</v>
      </c>
      <c r="G13" s="44">
        <f>STDEV(Q13:EC13)</f>
        <v>1.260186321627638</v>
      </c>
      <c r="H13" s="44">
        <f>QUARTILE(Q13:EC13,2)</f>
        <v>4.4</v>
      </c>
      <c r="I13" s="44">
        <f>MIN(Q13:EC13)</f>
        <v>1.4</v>
      </c>
      <c r="J13" s="44">
        <f>MAX(Q13:EC13)</f>
        <v>6.4</v>
      </c>
      <c r="K13" s="44">
        <f>PERCENTILE(Q13:EC13,0.95)</f>
        <v>6.2</v>
      </c>
      <c r="L13" s="102" t="str">
        <f>IF(H13&gt;6,"A",IF(H13&gt;4,"B",IF(H13&gt;2.5,"C",IF(H13&gt;0.6,"D","E"))))</f>
        <v>B</v>
      </c>
      <c r="N13" s="116" t="s">
        <v>13</v>
      </c>
      <c r="O13" s="108"/>
      <c r="P13" t="s">
        <v>13</v>
      </c>
      <c r="Q13">
        <v>4.5</v>
      </c>
      <c r="R13">
        <v>4</v>
      </c>
      <c r="S13">
        <v>4.4</v>
      </c>
      <c r="T13">
        <v>3.2</v>
      </c>
      <c r="U13">
        <v>6.2</v>
      </c>
      <c r="V13">
        <v>4.74</v>
      </c>
      <c r="W13">
        <v>5</v>
      </c>
      <c r="X13">
        <v>5.4</v>
      </c>
      <c r="Y13">
        <v>5.4</v>
      </c>
      <c r="Z13">
        <v>6</v>
      </c>
      <c r="AA13">
        <v>6.1</v>
      </c>
      <c r="AB13">
        <v>6.4</v>
      </c>
      <c r="AC13">
        <v>6.2</v>
      </c>
      <c r="AD13">
        <v>1.4</v>
      </c>
      <c r="AE13">
        <v>3.9</v>
      </c>
      <c r="AF13">
        <v>4.4</v>
      </c>
      <c r="AG13">
        <v>3</v>
      </c>
      <c r="AH13">
        <v>4.8</v>
      </c>
      <c r="AI13">
        <v>4.2</v>
      </c>
      <c r="AJ13">
        <v>3.1</v>
      </c>
      <c r="AK13">
        <v>3.1</v>
      </c>
      <c r="AL13">
        <v>3.8</v>
      </c>
      <c r="AM13">
        <v>4.3</v>
      </c>
    </row>
    <row r="14" spans="2:39" ht="12.75">
      <c r="B14" s="72"/>
      <c r="C14" s="95" t="s">
        <v>14</v>
      </c>
      <c r="D14" s="87">
        <f>COUNT(Q14:EC14)</f>
        <v>23</v>
      </c>
      <c r="E14" s="115">
        <f>AVERAGE(Q14:EC14)</f>
        <v>0.8478260869565217</v>
      </c>
      <c r="F14" s="115">
        <f t="shared" si="0"/>
        <v>0.2676694545481068</v>
      </c>
      <c r="G14" s="115">
        <f>STDEV(Q14:EC14)</f>
        <v>0.6549597941979418</v>
      </c>
      <c r="H14" s="115">
        <f>QUARTILE(Q14:EC14,2)</f>
        <v>0.6</v>
      </c>
      <c r="I14" s="115">
        <f>MIN(Q14:EC14)</f>
        <v>0.3</v>
      </c>
      <c r="J14" s="115">
        <f>MAX(Q14:EC14)</f>
        <v>3</v>
      </c>
      <c r="K14" s="115">
        <f>PERCENTILE(Q14:EC14,0.95)</f>
        <v>2</v>
      </c>
      <c r="L14" s="102"/>
      <c r="N14" s="116" t="s">
        <v>95</v>
      </c>
      <c r="O14" s="108"/>
      <c r="P14" t="s">
        <v>95</v>
      </c>
      <c r="Q14">
        <v>1</v>
      </c>
      <c r="R14">
        <v>1</v>
      </c>
      <c r="S14">
        <v>1</v>
      </c>
      <c r="T14">
        <v>2</v>
      </c>
      <c r="U14">
        <v>0.4</v>
      </c>
      <c r="V14">
        <v>0.4</v>
      </c>
      <c r="W14">
        <v>0.4</v>
      </c>
      <c r="X14">
        <v>0.6</v>
      </c>
      <c r="Y14">
        <v>0.6</v>
      </c>
      <c r="Z14">
        <v>0.7</v>
      </c>
      <c r="AA14">
        <v>0.4</v>
      </c>
      <c r="AB14">
        <v>0.5</v>
      </c>
      <c r="AC14">
        <v>0.6</v>
      </c>
      <c r="AD14">
        <v>2</v>
      </c>
      <c r="AE14">
        <v>0.4</v>
      </c>
      <c r="AF14">
        <v>0.5</v>
      </c>
      <c r="AG14">
        <v>0.6</v>
      </c>
      <c r="AH14">
        <v>0.3</v>
      </c>
      <c r="AI14">
        <v>1</v>
      </c>
      <c r="AJ14">
        <v>0.7</v>
      </c>
      <c r="AK14">
        <v>3</v>
      </c>
      <c r="AL14">
        <v>0.4</v>
      </c>
      <c r="AM14">
        <v>1</v>
      </c>
    </row>
    <row r="15" spans="2:39" ht="12.75">
      <c r="B15" s="208" t="s">
        <v>267</v>
      </c>
      <c r="C15" s="8" t="s">
        <v>268</v>
      </c>
      <c r="D15" s="81">
        <f>COUNT(Q15:EC15)</f>
        <v>23</v>
      </c>
      <c r="E15" s="40">
        <f>AVERAGE(Q15:EC15)</f>
        <v>29.26086956521739</v>
      </c>
      <c r="F15" s="40">
        <f t="shared" si="0"/>
        <v>15.541702413521424</v>
      </c>
      <c r="G15" s="40">
        <f>STDEV(Q15:EC15)</f>
        <v>38.028957138313274</v>
      </c>
      <c r="H15" s="40">
        <f>QUARTILE(Q15:EC15,2)</f>
        <v>15</v>
      </c>
      <c r="I15" s="40">
        <f>MIN(Q15:EC15)</f>
        <v>5</v>
      </c>
      <c r="J15" s="40">
        <f>MAX(Q15:EC15)</f>
        <v>170</v>
      </c>
      <c r="K15" s="40">
        <f>PERCENTILE(Q15:EC15,0.95)</f>
        <v>74.5</v>
      </c>
      <c r="L15" s="106" t="str">
        <f>IF(H15&lt;10,"A",IF(H15&lt;130,"B",IF(H15&lt;260,"C",IF(H15&lt;550,"D","E"))))</f>
        <v>B</v>
      </c>
      <c r="N15" s="116" t="s">
        <v>255</v>
      </c>
      <c r="O15" s="108"/>
      <c r="P15" t="s">
        <v>255</v>
      </c>
      <c r="Q15">
        <v>15</v>
      </c>
      <c r="R15">
        <v>170</v>
      </c>
      <c r="S15">
        <v>10</v>
      </c>
      <c r="T15">
        <v>10</v>
      </c>
      <c r="U15">
        <v>70</v>
      </c>
      <c r="V15">
        <v>5</v>
      </c>
      <c r="W15">
        <v>5</v>
      </c>
      <c r="X15">
        <v>5</v>
      </c>
      <c r="Y15">
        <v>25</v>
      </c>
      <c r="Z15">
        <v>15</v>
      </c>
      <c r="AA15">
        <v>5</v>
      </c>
      <c r="AB15">
        <v>5</v>
      </c>
      <c r="AC15">
        <v>25</v>
      </c>
      <c r="AD15">
        <v>75</v>
      </c>
      <c r="AE15">
        <v>5</v>
      </c>
      <c r="AF15">
        <v>5</v>
      </c>
      <c r="AG15">
        <v>55</v>
      </c>
      <c r="AH15">
        <v>50</v>
      </c>
      <c r="AI15">
        <v>5</v>
      </c>
      <c r="AJ15">
        <v>35</v>
      </c>
      <c r="AK15">
        <v>20</v>
      </c>
      <c r="AL15">
        <v>53</v>
      </c>
      <c r="AM15">
        <v>5</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132.20183333333333</v>
      </c>
      <c r="F17" s="44">
        <f>CONFIDENCE(0.05,G17,D17)</f>
        <v>6.15050002843071</v>
      </c>
      <c r="G17" s="44">
        <f>STDEV(Q17:EC17)</f>
        <v>7.686665087452675</v>
      </c>
      <c r="H17" s="44">
        <f>QUARTILE(Q17:EC17,2)</f>
        <v>133.5</v>
      </c>
      <c r="I17" s="44">
        <f>MIN(Q17:EC17)</f>
        <v>123</v>
      </c>
      <c r="J17" s="44">
        <f>MAX(Q17:EC17)</f>
        <v>143</v>
      </c>
      <c r="K17" s="44">
        <f>PERCENTILE(Q17:EC17,0.95)</f>
        <v>141.25</v>
      </c>
      <c r="L17" s="102" t="str">
        <f>IF(H17&gt;120,"A",IF(H17&gt;100,"B",IF(H17&gt;80,"C",IF(H17&gt;60,"D","E"))))</f>
        <v>A</v>
      </c>
      <c r="N17" s="116" t="s">
        <v>17</v>
      </c>
      <c r="O17" s="108"/>
      <c r="P17" t="s">
        <v>17</v>
      </c>
      <c r="Q17">
        <v>143</v>
      </c>
      <c r="U17">
        <v>123</v>
      </c>
      <c r="X17">
        <v>131</v>
      </c>
      <c r="AB17">
        <v>136</v>
      </c>
      <c r="AF17">
        <v>136</v>
      </c>
      <c r="AJ17">
        <v>124.211</v>
      </c>
    </row>
    <row r="18" spans="2:36" ht="12.75">
      <c r="B18" s="74"/>
      <c r="C18" s="96" t="s">
        <v>18</v>
      </c>
      <c r="D18" s="81">
        <f>COUNT(Q18:EC18)</f>
        <v>6</v>
      </c>
      <c r="E18" s="44">
        <f>AVERAGE(Q18:EC18)</f>
        <v>7.159666666666667</v>
      </c>
      <c r="F18" s="44">
        <f>CONFIDENCE(0.05,G18,D18)</f>
        <v>0.3577320575637535</v>
      </c>
      <c r="G18" s="44">
        <f>STDEV(Q18:EC18)</f>
        <v>0.44708015686970304</v>
      </c>
      <c r="H18" s="44">
        <f>QUARTILE(Q18:EC18,2)</f>
        <v>7.140000000000001</v>
      </c>
      <c r="I18" s="44">
        <f>MIN(Q18:EC18)</f>
        <v>6.63</v>
      </c>
      <c r="J18" s="44">
        <f>MAX(Q18:EC18)</f>
        <v>7.758</v>
      </c>
      <c r="K18" s="44">
        <f>PERCENTILE(Q18:EC18,0.95)</f>
        <v>7.6885</v>
      </c>
      <c r="L18" s="105" t="str">
        <f>IF(H18&gt;6,"A",IF(H18&gt;5,"B",IF(H18&gt;4,"C",IF(H18&gt;3,"D","E"))))</f>
        <v>A</v>
      </c>
      <c r="N18" s="116" t="s">
        <v>18</v>
      </c>
      <c r="O18" s="108"/>
      <c r="P18" t="s">
        <v>18</v>
      </c>
      <c r="Q18">
        <v>7.4</v>
      </c>
      <c r="U18">
        <v>6.63</v>
      </c>
      <c r="X18">
        <v>7.48</v>
      </c>
      <c r="AB18">
        <v>6.88</v>
      </c>
      <c r="AF18">
        <v>6.81</v>
      </c>
      <c r="AJ18">
        <v>7.758</v>
      </c>
    </row>
    <row r="19" spans="2:36" ht="12.75">
      <c r="B19" s="71" t="s">
        <v>106</v>
      </c>
      <c r="C19" s="7" t="s">
        <v>19</v>
      </c>
      <c r="D19" s="86">
        <f>COUNT(Q19:EC19)</f>
        <v>6</v>
      </c>
      <c r="E19" s="113">
        <f>AVERAGE(Q19:EC19)</f>
        <v>8.512666666666666</v>
      </c>
      <c r="F19" s="113">
        <f>CONFIDENCE(0.05,G19,D19)</f>
        <v>0.5242910782081112</v>
      </c>
      <c r="G19" s="113">
        <f>STDEV(Q19:EC19)</f>
        <v>0.655239396454969</v>
      </c>
      <c r="H19" s="113">
        <f>QUARTILE(Q19:EC19,2)</f>
        <v>8.600000000000001</v>
      </c>
      <c r="I19" s="113">
        <f>MIN(Q19:EC19)</f>
        <v>7.47</v>
      </c>
      <c r="J19" s="113">
        <f>MAX(Q19:EC19)</f>
        <v>9.3</v>
      </c>
      <c r="K19" s="113">
        <f>PERCENTILE(Q19:EC19,0.95)</f>
        <v>9.2165</v>
      </c>
      <c r="L19" s="102" t="str">
        <f>IF(H19&gt;8,"A",IF(H19&gt;6,"B",IF(H19&gt;4,"C",IF(H19&gt;2,"D","E"))))</f>
        <v>A</v>
      </c>
      <c r="N19" s="116" t="s">
        <v>96</v>
      </c>
      <c r="O19" s="108"/>
      <c r="P19" t="s">
        <v>96</v>
      </c>
      <c r="R19">
        <v>8.14</v>
      </c>
      <c r="S19">
        <v>7.47</v>
      </c>
      <c r="X19">
        <v>8.8</v>
      </c>
      <c r="AB19">
        <v>9.3</v>
      </c>
      <c r="AF19">
        <v>8.4</v>
      </c>
      <c r="AJ19">
        <v>8.966</v>
      </c>
    </row>
    <row r="20" spans="2:36" ht="13.5" thickBot="1">
      <c r="B20" s="72"/>
      <c r="C20" s="97" t="s">
        <v>122</v>
      </c>
      <c r="D20" s="87">
        <f>COUNT(Q20:EC20)</f>
        <v>4</v>
      </c>
      <c r="E20" s="114">
        <f>AVERAGE(Q20:EC20)</f>
        <v>7.725</v>
      </c>
      <c r="F20" s="114">
        <f>CONFIDENCE(0.05,G20,D20)</f>
        <v>10.395318058524648</v>
      </c>
      <c r="G20" s="114">
        <f>STDEV(Q20:EC20)</f>
        <v>10.607662324942286</v>
      </c>
      <c r="H20" s="114">
        <f>QUARTILE(Q20:EC20,2)</f>
        <v>3.8</v>
      </c>
      <c r="I20" s="114">
        <f>MIN(Q20:EC20)</f>
        <v>0</v>
      </c>
      <c r="J20" s="114">
        <f>MAX(Q20:EC20)</f>
        <v>23.3</v>
      </c>
      <c r="K20" s="114">
        <f>PERCENTILE(Q20:EC20,0.95)</f>
        <v>20.599999999999994</v>
      </c>
      <c r="L20" s="105"/>
      <c r="N20" s="116" t="s">
        <v>97</v>
      </c>
      <c r="O20" s="108"/>
      <c r="P20" t="s">
        <v>97</v>
      </c>
      <c r="X20">
        <v>5.3</v>
      </c>
      <c r="AB20">
        <v>2.3</v>
      </c>
      <c r="AF20">
        <v>23.3</v>
      </c>
      <c r="AJ20">
        <v>0</v>
      </c>
    </row>
    <row r="21" spans="2:15" ht="12.75">
      <c r="B21" s="80"/>
      <c r="C21" s="89"/>
      <c r="D21" s="89"/>
      <c r="E21" s="89"/>
      <c r="F21" s="89"/>
      <c r="G21" s="89"/>
      <c r="H21" s="89"/>
      <c r="I21" s="89"/>
      <c r="J21" s="89"/>
      <c r="K21" s="89"/>
      <c r="L21" s="100"/>
      <c r="O21" s="108"/>
    </row>
    <row r="22" spans="2:15" ht="12.75">
      <c r="B22" s="210" t="s">
        <v>119</v>
      </c>
      <c r="C22" s="211"/>
      <c r="D22" s="211"/>
      <c r="E22" s="211"/>
      <c r="F22" s="211"/>
      <c r="G22" s="76" t="str">
        <f>'Combined Score Calcs'!AA10</f>
        <v>A</v>
      </c>
      <c r="H22" s="39"/>
      <c r="I22" s="39"/>
      <c r="J22" s="39"/>
      <c r="K22" s="99"/>
      <c r="L22" s="90"/>
      <c r="N22" s="111"/>
      <c r="O22" s="108"/>
    </row>
    <row r="23" spans="2:17" ht="13.5" thickBot="1">
      <c r="B23" s="83"/>
      <c r="C23" s="84"/>
      <c r="D23" s="84"/>
      <c r="E23" s="84"/>
      <c r="F23" s="84"/>
      <c r="G23" s="84"/>
      <c r="H23" s="84"/>
      <c r="I23" s="84"/>
      <c r="J23" s="84"/>
      <c r="K23" s="84"/>
      <c r="L23" s="91"/>
      <c r="N23" s="111"/>
      <c r="O23" s="108"/>
      <c r="Q23" s="20"/>
    </row>
    <row r="24" spans="12:17" ht="12.75">
      <c r="L24" s="60"/>
      <c r="N24" s="111"/>
      <c r="O24" s="108"/>
      <c r="Q24" s="20"/>
    </row>
    <row r="25" spans="12:15" ht="12.75">
      <c r="L25" s="60"/>
      <c r="O25" s="108"/>
    </row>
    <row r="26" spans="12:15" ht="12.75">
      <c r="L26" s="60"/>
      <c r="O26" s="108"/>
    </row>
    <row r="27" spans="12:15" ht="12.75">
      <c r="L27" s="60"/>
      <c r="O27" s="108"/>
    </row>
    <row r="28" spans="7:15" ht="12.75">
      <c r="G28" t="s">
        <v>140</v>
      </c>
      <c r="H28" t="s">
        <v>141</v>
      </c>
      <c r="L28" s="60"/>
      <c r="O28" s="108"/>
    </row>
    <row r="29" spans="5:15" ht="12.75">
      <c r="E29" s="158"/>
      <c r="F29" s="153"/>
      <c r="G29" s="118" t="s">
        <v>21</v>
      </c>
      <c r="H29" s="136">
        <v>1.5</v>
      </c>
      <c r="I29" s="137">
        <v>10</v>
      </c>
      <c r="J29" s="119"/>
      <c r="K29" s="119"/>
      <c r="L29" s="60"/>
      <c r="O29" s="108"/>
    </row>
    <row r="30" spans="5:12" ht="12.75">
      <c r="E30" s="158"/>
      <c r="F30" s="153"/>
      <c r="G30" s="122" t="s">
        <v>22</v>
      </c>
      <c r="H30" s="137">
        <v>65</v>
      </c>
      <c r="I30" s="137">
        <v>270</v>
      </c>
      <c r="J30" s="119"/>
      <c r="K30" s="119"/>
      <c r="L30" s="60"/>
    </row>
    <row r="31" spans="5:12" ht="12.75">
      <c r="E31" s="158"/>
      <c r="F31" s="153"/>
      <c r="G31" s="122" t="s">
        <v>23</v>
      </c>
      <c r="H31" s="137">
        <v>50</v>
      </c>
      <c r="I31" s="137">
        <v>220</v>
      </c>
      <c r="J31" s="119"/>
      <c r="K31" s="119"/>
      <c r="L31" s="60"/>
    </row>
    <row r="32" spans="5:12" ht="12.75">
      <c r="E32" s="158"/>
      <c r="F32" s="153"/>
      <c r="G32" s="122" t="s">
        <v>24</v>
      </c>
      <c r="H32" s="137">
        <v>200</v>
      </c>
      <c r="I32" s="137">
        <v>210</v>
      </c>
      <c r="J32" s="119"/>
      <c r="K32" s="119"/>
      <c r="L32" s="60"/>
    </row>
    <row r="33" spans="7:12" ht="12.75">
      <c r="G33" s="122"/>
      <c r="H33" t="s">
        <v>137</v>
      </c>
      <c r="I33" t="s">
        <v>138</v>
      </c>
      <c r="L33" s="60"/>
    </row>
    <row r="34" ht="12.75">
      <c r="L34" s="60"/>
    </row>
    <row r="35" ht="12.75">
      <c r="L35" s="60"/>
    </row>
    <row r="36" spans="5:12" ht="12.75">
      <c r="E36" s="158"/>
      <c r="F36" s="153"/>
      <c r="G36" s="119"/>
      <c r="H36" s="119"/>
      <c r="I36" s="119"/>
      <c r="J36" s="119"/>
      <c r="K36" s="119"/>
      <c r="L36" s="60"/>
    </row>
    <row r="37" spans="5:12" ht="12.75">
      <c r="E37" s="158"/>
      <c r="F37" s="153"/>
      <c r="G37" s="119"/>
      <c r="H37" s="119"/>
      <c r="I37" s="119"/>
      <c r="J37" s="119"/>
      <c r="K37" s="119"/>
      <c r="L37" s="60"/>
    </row>
    <row r="38" spans="5:12" ht="12.75">
      <c r="E38" s="158"/>
      <c r="F38" s="153"/>
      <c r="G38" s="119"/>
      <c r="H38" s="119"/>
      <c r="I38" s="119"/>
      <c r="J38" s="119"/>
      <c r="K38" s="119"/>
      <c r="L38" s="60"/>
    </row>
    <row r="39" spans="5:12" ht="12.75">
      <c r="E39" s="158"/>
      <c r="F39" s="153"/>
      <c r="G39" s="119"/>
      <c r="H39" s="119"/>
      <c r="I39" s="119"/>
      <c r="J39" s="119"/>
      <c r="K39" s="119"/>
      <c r="L39" s="60"/>
    </row>
    <row r="40" spans="5:12" ht="12.75">
      <c r="E40" s="158"/>
      <c r="F40" s="153"/>
      <c r="G40" s="119"/>
      <c r="H40" s="119"/>
      <c r="I40" s="119"/>
      <c r="J40" s="119"/>
      <c r="K40" s="119"/>
      <c r="L40" s="60"/>
    </row>
    <row r="41" spans="5:12" ht="12.75">
      <c r="E41" s="158"/>
      <c r="F41" s="153"/>
      <c r="G41" s="119"/>
      <c r="H41" s="119"/>
      <c r="I41" s="119"/>
      <c r="J41" s="119"/>
      <c r="K41" s="119"/>
      <c r="L41" s="60"/>
    </row>
    <row r="42" ht="12.75">
      <c r="L42" s="60"/>
    </row>
  </sheetData>
  <mergeCells count="1">
    <mergeCell ref="B22:F22"/>
  </mergeCells>
  <printOptions/>
  <pageMargins left="0.75" right="0.75" top="1" bottom="1" header="0.5" footer="0.5"/>
  <pageSetup horizontalDpi="600" verticalDpi="600" orientation="portrait" paperSize="133" r:id="rId1"/>
</worksheet>
</file>

<file path=xl/worksheets/sheet7.xml><?xml version="1.0" encoding="utf-8"?>
<worksheet xmlns="http://schemas.openxmlformats.org/spreadsheetml/2006/main" xmlns:r="http://schemas.openxmlformats.org/officeDocument/2006/relationships">
  <dimension ref="B1:AQ42"/>
  <sheetViews>
    <sheetView workbookViewId="0" topLeftCell="A1">
      <selection activeCell="B3" sqref="B3:L23"/>
    </sheetView>
  </sheetViews>
  <sheetFormatPr defaultColWidth="9.140625" defaultRowHeight="12.75"/>
  <cols>
    <col min="3" max="3" width="28.7109375" style="0" bestFit="1" customWidth="1"/>
    <col min="14" max="14" width="34.140625" style="0" customWidth="1"/>
    <col min="16" max="16" width="33.57421875" style="0" customWidth="1"/>
    <col min="17" max="17" width="14.421875" style="0" bestFit="1" customWidth="1"/>
  </cols>
  <sheetData>
    <row r="1" spans="2:15" ht="15.75">
      <c r="B1" s="107" t="s">
        <v>159</v>
      </c>
      <c r="O1" s="109" t="s">
        <v>125</v>
      </c>
    </row>
    <row r="2" spans="12:39" ht="13.5" thickBot="1">
      <c r="L2" s="60"/>
      <c r="N2" s="116" t="s">
        <v>84</v>
      </c>
      <c r="O2" s="110"/>
      <c r="P2" t="s">
        <v>84</v>
      </c>
      <c r="Q2" t="s">
        <v>64</v>
      </c>
      <c r="R2" t="s">
        <v>64</v>
      </c>
      <c r="S2" t="s">
        <v>64</v>
      </c>
      <c r="T2" t="s">
        <v>64</v>
      </c>
      <c r="U2" t="s">
        <v>64</v>
      </c>
      <c r="V2" t="s">
        <v>64</v>
      </c>
      <c r="W2" t="s">
        <v>64</v>
      </c>
      <c r="X2" t="s">
        <v>64</v>
      </c>
      <c r="Y2" t="s">
        <v>64</v>
      </c>
      <c r="Z2" t="s">
        <v>64</v>
      </c>
      <c r="AA2" t="s">
        <v>64</v>
      </c>
      <c r="AB2" t="s">
        <v>64</v>
      </c>
      <c r="AC2" t="s">
        <v>64</v>
      </c>
      <c r="AD2" t="s">
        <v>64</v>
      </c>
      <c r="AE2" t="s">
        <v>64</v>
      </c>
      <c r="AF2" t="s">
        <v>64</v>
      </c>
      <c r="AG2" t="s">
        <v>64</v>
      </c>
      <c r="AH2" t="s">
        <v>64</v>
      </c>
      <c r="AI2" t="s">
        <v>64</v>
      </c>
      <c r="AJ2" t="s">
        <v>64</v>
      </c>
      <c r="AK2" t="s">
        <v>64</v>
      </c>
      <c r="AL2" t="s">
        <v>64</v>
      </c>
      <c r="AM2" t="s">
        <v>64</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36833.427083333336</v>
      </c>
      <c r="R3" s="64">
        <v>36921.680555555555</v>
      </c>
      <c r="S3" s="64">
        <v>37012.67013888889</v>
      </c>
      <c r="T3" s="64">
        <v>37109.67361111111</v>
      </c>
      <c r="U3" s="64">
        <v>37223.583333333336</v>
      </c>
      <c r="V3" s="64">
        <v>37383.708333333336</v>
      </c>
      <c r="W3" s="64">
        <v>37474.6875</v>
      </c>
      <c r="X3" s="64">
        <v>37586.71527777778</v>
      </c>
      <c r="Y3" s="64">
        <v>37649.583333333336</v>
      </c>
      <c r="Z3" s="64">
        <v>37747.55902777778</v>
      </c>
      <c r="AA3" s="64">
        <v>37838.54513888889</v>
      </c>
      <c r="AB3" s="64">
        <v>37951.625</v>
      </c>
      <c r="AC3" s="64">
        <v>38028.57638888889</v>
      </c>
      <c r="AD3" s="64">
        <v>38112.493055555555</v>
      </c>
      <c r="AE3" s="64">
        <v>38202.645833333336</v>
      </c>
      <c r="AF3" s="64">
        <v>38336.59027777778</v>
      </c>
      <c r="AG3" s="64">
        <v>38393.64236111111</v>
      </c>
      <c r="AH3" s="64">
        <v>38477.6625</v>
      </c>
      <c r="AI3" s="64">
        <v>38593.65277777778</v>
      </c>
      <c r="AJ3" s="64">
        <v>38680.65625</v>
      </c>
      <c r="AK3" s="64">
        <v>38776.70486111111</v>
      </c>
      <c r="AL3" s="64">
        <v>38869.625</v>
      </c>
      <c r="AM3" s="64">
        <v>38960.65833333333</v>
      </c>
      <c r="AO3" s="64"/>
      <c r="AP3" s="64"/>
      <c r="AQ3" s="64"/>
    </row>
    <row r="4" spans="2:39" ht="12.75">
      <c r="B4" s="68" t="s">
        <v>103</v>
      </c>
      <c r="C4" s="93" t="s">
        <v>4</v>
      </c>
      <c r="D4" s="81">
        <f>COUNT(Q4:EC4)</f>
        <v>20</v>
      </c>
      <c r="E4" s="82">
        <f>AVERAGE(Q4:EC4)</f>
        <v>0.5664499999999999</v>
      </c>
      <c r="F4" s="82">
        <f aca="true" t="shared" si="0" ref="F4:F15">CONFIDENCE(0.05,G4,D4)</f>
        <v>0.20733458982132524</v>
      </c>
      <c r="G4" s="82">
        <f>STDEV(Q4:EC4)</f>
        <v>0.4730844450045503</v>
      </c>
      <c r="H4" s="82">
        <f>QUARTILE(Q4:EC4,2)</f>
        <v>0.35</v>
      </c>
      <c r="I4" s="82">
        <f>MIN(Q4:EC4)</f>
        <v>0.034</v>
      </c>
      <c r="J4" s="82">
        <f>MAX(Q4:EC4)</f>
        <v>1.6</v>
      </c>
      <c r="K4" s="82">
        <f>PERCENTILE(Q4:EC4,0.95)</f>
        <v>1.3150000000000002</v>
      </c>
      <c r="L4" s="102" t="str">
        <f>IF((H4+H5)&lt;0.08,"A",IF((H4+H5)&lt;0.12,"B",IF((H4+H5)&lt;0.295,"C",IF((H4+H5)&lt;0.444,"D","E"))))</f>
        <v>D</v>
      </c>
      <c r="N4" s="116" t="s">
        <v>86</v>
      </c>
      <c r="O4" s="108"/>
      <c r="P4" t="s">
        <v>86</v>
      </c>
      <c r="R4">
        <v>0.18</v>
      </c>
      <c r="S4">
        <v>0.08</v>
      </c>
      <c r="V4">
        <v>0.2</v>
      </c>
      <c r="W4">
        <v>0.56</v>
      </c>
      <c r="X4">
        <v>0.34</v>
      </c>
      <c r="Y4">
        <v>0.21</v>
      </c>
      <c r="Z4">
        <v>0.94</v>
      </c>
      <c r="AA4">
        <v>0.65</v>
      </c>
      <c r="AB4">
        <v>0.36</v>
      </c>
      <c r="AC4">
        <v>0.77</v>
      </c>
      <c r="AD4">
        <v>1.3</v>
      </c>
      <c r="AE4">
        <v>1.2</v>
      </c>
      <c r="AF4">
        <v>0.29</v>
      </c>
      <c r="AG4">
        <v>0.26</v>
      </c>
      <c r="AH4">
        <v>0.17</v>
      </c>
      <c r="AI4">
        <v>1</v>
      </c>
      <c r="AJ4">
        <v>0.034</v>
      </c>
      <c r="AK4">
        <v>0.085</v>
      </c>
      <c r="AL4">
        <v>1.6</v>
      </c>
      <c r="AM4">
        <v>1.1</v>
      </c>
    </row>
    <row r="5" spans="2:39" ht="12.75">
      <c r="B5" s="69"/>
      <c r="C5" s="5" t="s">
        <v>5</v>
      </c>
      <c r="D5" s="73">
        <f>COUNT(Q5:EC5)</f>
        <v>18</v>
      </c>
      <c r="E5" s="112">
        <f>AVERAGE(Q5:EC5)</f>
        <v>0.008333333333333337</v>
      </c>
      <c r="F5" s="112">
        <f t="shared" si="0"/>
        <v>0.0017139387844965135</v>
      </c>
      <c r="G5" s="112">
        <f>STDEV(Q5:EC5)</f>
        <v>0.003710081654405051</v>
      </c>
      <c r="H5" s="112">
        <f>QUARTILE(Q5:EC5,2)</f>
        <v>0.006500000000000001</v>
      </c>
      <c r="I5" s="112">
        <f>MIN(Q5:EC5)</f>
        <v>0.005</v>
      </c>
      <c r="J5" s="112">
        <f>MAX(Q5:EC5)</f>
        <v>0.016</v>
      </c>
      <c r="K5" s="112">
        <f>PERCENTILE(Q5:EC5,0.95)</f>
        <v>0.015149999999999999</v>
      </c>
      <c r="L5" s="102"/>
      <c r="N5" s="116" t="s">
        <v>87</v>
      </c>
      <c r="O5" s="108"/>
      <c r="P5" t="s">
        <v>87</v>
      </c>
      <c r="V5">
        <v>0.009</v>
      </c>
      <c r="W5">
        <v>0.013</v>
      </c>
      <c r="X5">
        <v>0.016</v>
      </c>
      <c r="Y5">
        <v>0.015</v>
      </c>
      <c r="Z5">
        <v>0.009</v>
      </c>
      <c r="AA5">
        <v>0.006</v>
      </c>
      <c r="AB5">
        <v>0.01</v>
      </c>
      <c r="AC5">
        <v>0.007</v>
      </c>
      <c r="AD5">
        <v>0.006</v>
      </c>
      <c r="AE5">
        <v>0.005</v>
      </c>
      <c r="AF5">
        <v>0.006</v>
      </c>
      <c r="AG5">
        <v>0.011</v>
      </c>
      <c r="AH5">
        <v>0.005</v>
      </c>
      <c r="AI5">
        <v>0.005</v>
      </c>
      <c r="AJ5">
        <v>0.005</v>
      </c>
      <c r="AK5">
        <v>0.012</v>
      </c>
      <c r="AL5">
        <v>0.005</v>
      </c>
      <c r="AM5">
        <v>0.005</v>
      </c>
    </row>
    <row r="6" spans="2:39" ht="12.75">
      <c r="B6" s="70"/>
      <c r="C6" s="94" t="s">
        <v>6</v>
      </c>
      <c r="D6" s="73">
        <f>COUNT(Q6:EC6)</f>
        <v>23</v>
      </c>
      <c r="E6" s="112">
        <f>AVERAGE(Q6:EC6)</f>
        <v>0.01230434782608696</v>
      </c>
      <c r="F6" s="112">
        <f t="shared" si="0"/>
        <v>0.0016734365276977468</v>
      </c>
      <c r="G6" s="112">
        <f>STDEV(Q6:EC6)</f>
        <v>0.004094728125159496</v>
      </c>
      <c r="H6" s="112">
        <f>QUARTILE(Q6:EC6,2)</f>
        <v>0.012</v>
      </c>
      <c r="I6" s="112">
        <f>MIN(Q6:EC6)</f>
        <v>0.005</v>
      </c>
      <c r="J6" s="112">
        <f>MAX(Q6:EC6)</f>
        <v>0.024</v>
      </c>
      <c r="K6" s="112">
        <f>PERCENTILE(Q6:EC6,0.95)</f>
        <v>0.019499999999999993</v>
      </c>
      <c r="L6" s="102" t="str">
        <f>IF((H6)&lt;0.005,"A",IF((H6)&lt;0.008,"B",IF((H6)&lt;0.026,"C",IF((H6)&lt;0.05,"D","E"))))</f>
        <v>C</v>
      </c>
      <c r="N6" s="116" t="s">
        <v>88</v>
      </c>
      <c r="O6" s="108"/>
      <c r="P6" t="s">
        <v>88</v>
      </c>
      <c r="Q6">
        <v>0.013</v>
      </c>
      <c r="R6">
        <v>0.02</v>
      </c>
      <c r="S6">
        <v>0.011</v>
      </c>
      <c r="T6">
        <v>0.013</v>
      </c>
      <c r="U6">
        <v>0.013</v>
      </c>
      <c r="V6">
        <v>0.01</v>
      </c>
      <c r="W6">
        <v>0.01</v>
      </c>
      <c r="X6">
        <v>0.01</v>
      </c>
      <c r="Y6">
        <v>0.024</v>
      </c>
      <c r="Z6">
        <v>0.014</v>
      </c>
      <c r="AA6">
        <v>0.015</v>
      </c>
      <c r="AB6">
        <v>0.015</v>
      </c>
      <c r="AC6">
        <v>0.014</v>
      </c>
      <c r="AD6">
        <v>0.012</v>
      </c>
      <c r="AE6">
        <v>0.015</v>
      </c>
      <c r="AF6">
        <v>0.01</v>
      </c>
      <c r="AG6">
        <v>0.013</v>
      </c>
      <c r="AH6">
        <v>0.005</v>
      </c>
      <c r="AI6">
        <v>0.008</v>
      </c>
      <c r="AJ6">
        <v>0.01</v>
      </c>
      <c r="AK6">
        <v>0.011</v>
      </c>
      <c r="AL6">
        <v>0.011</v>
      </c>
      <c r="AM6">
        <v>0.006</v>
      </c>
    </row>
    <row r="7" spans="2:39" ht="12.75">
      <c r="B7" s="71" t="s">
        <v>104</v>
      </c>
      <c r="C7" s="6" t="s">
        <v>7</v>
      </c>
      <c r="D7" s="86">
        <f>COUNT(Q7:EC7)</f>
        <v>23</v>
      </c>
      <c r="E7" s="113">
        <f>AVERAGE(Q7:EC7)</f>
        <v>7.6573913043478266</v>
      </c>
      <c r="F7" s="113">
        <f t="shared" si="0"/>
        <v>0.11694540244598328</v>
      </c>
      <c r="G7" s="113">
        <f>STDEV(Q7:EC7)</f>
        <v>0.28615344566576517</v>
      </c>
      <c r="H7" s="113">
        <f>QUARTILE(Q7:EC7,2)</f>
        <v>7.68</v>
      </c>
      <c r="I7" s="113">
        <f>MIN(Q7:EC7)</f>
        <v>7.19</v>
      </c>
      <c r="J7" s="113">
        <f>MAX(Q7:EC7)</f>
        <v>8.21</v>
      </c>
      <c r="K7" s="113">
        <f>PERCENTILE(Q7:EC7,0.95)</f>
        <v>8.14</v>
      </c>
      <c r="L7" s="103" t="str">
        <f>IF(AND(7.2&lt;H7,H7&lt;9),"A",IF(AND(7.2&lt;=H7,H7&lt;=9),"B",IF(AND(6.5&lt;=H7,H7&lt;=9),"C",IF(AND(6.5&lt;=H7,H7&lt;=10),"D","E"))))</f>
        <v>A</v>
      </c>
      <c r="N7" s="116" t="s">
        <v>89</v>
      </c>
      <c r="O7" s="108"/>
      <c r="P7" t="s">
        <v>89</v>
      </c>
      <c r="Q7">
        <v>7.96</v>
      </c>
      <c r="R7">
        <v>7.68</v>
      </c>
      <c r="S7">
        <v>8.21</v>
      </c>
      <c r="T7">
        <v>7.7</v>
      </c>
      <c r="U7">
        <v>7.34</v>
      </c>
      <c r="V7">
        <v>7.5</v>
      </c>
      <c r="W7">
        <v>7.94</v>
      </c>
      <c r="X7">
        <v>7.88</v>
      </c>
      <c r="Y7">
        <v>7.8</v>
      </c>
      <c r="Z7">
        <v>7.79</v>
      </c>
      <c r="AA7">
        <v>7.41</v>
      </c>
      <c r="AB7">
        <v>7.94</v>
      </c>
      <c r="AC7">
        <v>7.6</v>
      </c>
      <c r="AD7">
        <v>7.3</v>
      </c>
      <c r="AE7">
        <v>7.46</v>
      </c>
      <c r="AF7">
        <v>7.76</v>
      </c>
      <c r="AG7">
        <v>7.57</v>
      </c>
      <c r="AH7">
        <v>7.35</v>
      </c>
      <c r="AI7">
        <v>7.55</v>
      </c>
      <c r="AJ7">
        <v>7.23</v>
      </c>
      <c r="AK7">
        <v>7.19</v>
      </c>
      <c r="AL7">
        <v>7.8</v>
      </c>
      <c r="AM7">
        <v>8.16</v>
      </c>
    </row>
    <row r="8" spans="2:39" ht="12.75">
      <c r="B8" s="71"/>
      <c r="C8" s="6" t="s">
        <v>8</v>
      </c>
      <c r="D8" s="81">
        <f>COUNT(Q8:EC8)</f>
        <v>23</v>
      </c>
      <c r="E8" s="44">
        <f>AVERAGE(Q8:EC8)</f>
        <v>13.23217391304348</v>
      </c>
      <c r="F8" s="44">
        <f t="shared" si="0"/>
        <v>1.3939335713357695</v>
      </c>
      <c r="G8" s="44">
        <f>STDEV(Q8:EC8)</f>
        <v>3.410812961639574</v>
      </c>
      <c r="H8" s="44">
        <f>QUARTILE(Q8:EC8,2)</f>
        <v>12.8</v>
      </c>
      <c r="I8" s="44">
        <f>MIN(Q8:EC8)</f>
        <v>6.8</v>
      </c>
      <c r="J8" s="44">
        <f>MAX(Q8:EC8)</f>
        <v>20.4</v>
      </c>
      <c r="K8" s="44">
        <f>PERCENTILE(Q8:EC8,0.95)</f>
        <v>17.889999999999997</v>
      </c>
      <c r="L8" s="102" t="str">
        <f>IF(H8&lt;18,"A",IF(H8&lt;20,"B",IF(H8&lt;22,"C",IF(H8&lt;25,"D","E"))))</f>
        <v>A</v>
      </c>
      <c r="N8" s="116" t="s">
        <v>90</v>
      </c>
      <c r="O8" s="108"/>
      <c r="P8" t="s">
        <v>90</v>
      </c>
      <c r="Q8">
        <v>10.8</v>
      </c>
      <c r="R8">
        <v>17.2</v>
      </c>
      <c r="S8">
        <v>12.9</v>
      </c>
      <c r="T8">
        <v>6.8</v>
      </c>
      <c r="U8">
        <v>14.1</v>
      </c>
      <c r="V8">
        <v>12.69</v>
      </c>
      <c r="W8">
        <v>10.2</v>
      </c>
      <c r="X8">
        <v>17.9</v>
      </c>
      <c r="Y8">
        <v>15.5</v>
      </c>
      <c r="Z8">
        <v>9.2</v>
      </c>
      <c r="AA8">
        <v>9.1</v>
      </c>
      <c r="AB8">
        <v>14.3</v>
      </c>
      <c r="AC8">
        <v>17.8</v>
      </c>
      <c r="AD8">
        <v>12.8</v>
      </c>
      <c r="AE8">
        <v>9.1</v>
      </c>
      <c r="AF8">
        <v>15.1</v>
      </c>
      <c r="AG8">
        <v>20.4</v>
      </c>
      <c r="AH8">
        <v>12.5</v>
      </c>
      <c r="AI8">
        <v>12.51</v>
      </c>
      <c r="AJ8">
        <v>14.07</v>
      </c>
      <c r="AK8">
        <v>17.25</v>
      </c>
      <c r="AL8">
        <v>10.42</v>
      </c>
      <c r="AM8">
        <v>11.7</v>
      </c>
    </row>
    <row r="9" spans="2:39" ht="12.75">
      <c r="B9" s="71"/>
      <c r="C9" s="7" t="s">
        <v>9</v>
      </c>
      <c r="D9" s="81">
        <f>COUNT(Q9:EC9)</f>
        <v>23</v>
      </c>
      <c r="E9" s="44">
        <f>AVERAGE(Q9:EC9)</f>
        <v>98.53478260869566</v>
      </c>
      <c r="F9" s="44">
        <f t="shared" si="0"/>
        <v>2.1302282959038408</v>
      </c>
      <c r="G9" s="44">
        <f>STDEV(Q9:EC9)</f>
        <v>5.212450888859481</v>
      </c>
      <c r="H9" s="44">
        <f>QUARTILE(Q9:EC9,2)</f>
        <v>98.9</v>
      </c>
      <c r="I9" s="44">
        <f>MIN(Q9:EC9)</f>
        <v>87.7</v>
      </c>
      <c r="J9" s="44">
        <f>MAX(Q9:EC9)</f>
        <v>110.4</v>
      </c>
      <c r="K9" s="44">
        <f>PERCENTILE(Q9:EC9,0.95)</f>
        <v>107.25</v>
      </c>
      <c r="L9" s="104" t="str">
        <f>IF(AND(99&lt;=H9,H9&lt;=103),"A",IF(AND(98&lt;=H9,H9&lt;=105),"B",IF(H9&gt;90,"C",IF(H9&gt;80,"D","E"))))</f>
        <v>B</v>
      </c>
      <c r="N9" s="116" t="s">
        <v>91</v>
      </c>
      <c r="O9" s="108"/>
      <c r="P9" t="s">
        <v>91</v>
      </c>
      <c r="Q9">
        <v>92.7</v>
      </c>
      <c r="R9">
        <v>90.5</v>
      </c>
      <c r="S9">
        <v>87.7</v>
      </c>
      <c r="T9">
        <v>102.1</v>
      </c>
      <c r="U9">
        <v>99.2</v>
      </c>
      <c r="V9">
        <v>93.2</v>
      </c>
      <c r="W9">
        <v>105</v>
      </c>
      <c r="X9">
        <v>97.2</v>
      </c>
      <c r="Y9">
        <v>107.5</v>
      </c>
      <c r="Z9">
        <v>99</v>
      </c>
      <c r="AA9">
        <v>100.1</v>
      </c>
      <c r="AB9">
        <v>95.6</v>
      </c>
      <c r="AC9">
        <v>97.2</v>
      </c>
      <c r="AD9">
        <v>100.7</v>
      </c>
      <c r="AE9">
        <v>97.5</v>
      </c>
      <c r="AF9">
        <v>101</v>
      </c>
      <c r="AG9">
        <v>100</v>
      </c>
      <c r="AH9">
        <v>97.6</v>
      </c>
      <c r="AI9">
        <v>110.4</v>
      </c>
      <c r="AJ9">
        <v>96.1</v>
      </c>
      <c r="AK9">
        <v>94</v>
      </c>
      <c r="AL9">
        <v>98.9</v>
      </c>
      <c r="AM9">
        <v>103.1</v>
      </c>
    </row>
    <row r="10" spans="2:39" ht="12.75">
      <c r="B10" s="71"/>
      <c r="C10" s="6" t="s">
        <v>10</v>
      </c>
      <c r="D10" s="81">
        <f>COUNT(Q10:EC10)</f>
        <v>23</v>
      </c>
      <c r="E10" s="44">
        <f>AVERAGE(Q10:EC10)</f>
        <v>10.37782608695652</v>
      </c>
      <c r="F10" s="44">
        <f t="shared" si="0"/>
        <v>0.4270379657385246</v>
      </c>
      <c r="G10" s="44">
        <f>STDEV(Q10:EC10)</f>
        <v>1.0449182504854848</v>
      </c>
      <c r="H10" s="44">
        <f>QUARTILE(Q10:EC10,2)</f>
        <v>10.27</v>
      </c>
      <c r="I10" s="44">
        <f>MIN(Q10:EC10)</f>
        <v>8.63</v>
      </c>
      <c r="J10" s="44">
        <f>MAX(Q10:EC10)</f>
        <v>12.43</v>
      </c>
      <c r="K10" s="44">
        <f>PERCENTILE(Q10:EC10,0.95)</f>
        <v>11.784999999999998</v>
      </c>
      <c r="L10" s="102"/>
      <c r="N10" s="116" t="s">
        <v>92</v>
      </c>
      <c r="O10" s="108"/>
      <c r="P10" t="s">
        <v>92</v>
      </c>
      <c r="Q10">
        <v>10.27</v>
      </c>
      <c r="R10">
        <v>8.63</v>
      </c>
      <c r="S10">
        <v>9.24</v>
      </c>
      <c r="T10">
        <v>12.43</v>
      </c>
      <c r="U10">
        <v>10.18</v>
      </c>
      <c r="V10">
        <v>9.88</v>
      </c>
      <c r="W10">
        <v>11.79</v>
      </c>
      <c r="X10">
        <v>9.22</v>
      </c>
      <c r="Y10">
        <v>10.71</v>
      </c>
      <c r="Z10">
        <v>11.38</v>
      </c>
      <c r="AA10">
        <v>11.54</v>
      </c>
      <c r="AB10">
        <v>9.79</v>
      </c>
      <c r="AC10">
        <v>9.25</v>
      </c>
      <c r="AD10">
        <v>10.65</v>
      </c>
      <c r="AE10">
        <v>11.26</v>
      </c>
      <c r="AF10">
        <v>10.17</v>
      </c>
      <c r="AG10">
        <v>9.03</v>
      </c>
      <c r="AH10">
        <v>10.38</v>
      </c>
      <c r="AI10">
        <v>11.74</v>
      </c>
      <c r="AJ10">
        <v>9.88</v>
      </c>
      <c r="AK10">
        <v>9.03</v>
      </c>
      <c r="AL10">
        <v>11.05</v>
      </c>
      <c r="AM10">
        <v>11.19</v>
      </c>
    </row>
    <row r="11" spans="2:39" ht="12.75">
      <c r="B11" s="72"/>
      <c r="C11" s="95" t="s">
        <v>11</v>
      </c>
      <c r="D11" s="87">
        <f>COUNT(Q11:EC11)</f>
        <v>23</v>
      </c>
      <c r="E11" s="115">
        <f>AVERAGE(Q11:EC11)</f>
        <v>142.6782608695652</v>
      </c>
      <c r="F11" s="115">
        <f t="shared" si="0"/>
        <v>5.771415535357431</v>
      </c>
      <c r="G11" s="115">
        <f>STDEV(Q11:EC11)</f>
        <v>14.122063862872105</v>
      </c>
      <c r="H11" s="115">
        <f>QUARTILE(Q11:EC11,2)</f>
        <v>143</v>
      </c>
      <c r="I11" s="115">
        <f>MIN(Q11:EC11)</f>
        <v>115.8</v>
      </c>
      <c r="J11" s="115">
        <f>MAX(Q11:EC11)</f>
        <v>169</v>
      </c>
      <c r="K11" s="115">
        <f>PERCENTILE(Q11:EC11,0.95)</f>
        <v>163.61</v>
      </c>
      <c r="L11" s="105"/>
      <c r="N11" s="116" t="s">
        <v>93</v>
      </c>
      <c r="O11" s="108"/>
      <c r="P11" t="s">
        <v>93</v>
      </c>
      <c r="Q11">
        <v>155</v>
      </c>
      <c r="R11">
        <v>152.8</v>
      </c>
      <c r="S11">
        <v>163.9</v>
      </c>
      <c r="T11">
        <v>144.1</v>
      </c>
      <c r="U11">
        <v>115.8</v>
      </c>
      <c r="V11">
        <v>149</v>
      </c>
      <c r="W11">
        <v>138</v>
      </c>
      <c r="X11">
        <v>144</v>
      </c>
      <c r="Y11">
        <v>150</v>
      </c>
      <c r="Z11">
        <v>157</v>
      </c>
      <c r="AA11">
        <v>136</v>
      </c>
      <c r="AB11">
        <v>136</v>
      </c>
      <c r="AC11">
        <v>136</v>
      </c>
      <c r="AD11">
        <v>120</v>
      </c>
      <c r="AE11">
        <v>120</v>
      </c>
      <c r="AF11">
        <v>136</v>
      </c>
      <c r="AG11">
        <v>143</v>
      </c>
      <c r="AH11">
        <v>152</v>
      </c>
      <c r="AI11">
        <v>126</v>
      </c>
      <c r="AJ11">
        <v>161</v>
      </c>
      <c r="AK11">
        <v>169</v>
      </c>
      <c r="AL11">
        <v>139</v>
      </c>
      <c r="AM11">
        <v>138</v>
      </c>
    </row>
    <row r="12" spans="2:39" ht="12.75">
      <c r="B12" s="68" t="s">
        <v>105</v>
      </c>
      <c r="C12" s="4" t="s">
        <v>12</v>
      </c>
      <c r="D12" s="81">
        <f>COUNT(Q12:EC12)</f>
        <v>23</v>
      </c>
      <c r="E12" s="82">
        <f>AVERAGE(Q12:EC12)</f>
        <v>2.066086956521739</v>
      </c>
      <c r="F12" s="82">
        <f t="shared" si="0"/>
        <v>0.44316854763392827</v>
      </c>
      <c r="G12" s="82">
        <f>STDEV(Q12:EC12)</f>
        <v>1.0843881355209022</v>
      </c>
      <c r="H12" s="82">
        <f>QUARTILE(Q12:EC12,2)</f>
        <v>1.84</v>
      </c>
      <c r="I12" s="82">
        <f>MIN(Q12:EC12)</f>
        <v>0.76</v>
      </c>
      <c r="J12" s="82">
        <f>MAX(Q12:EC12)</f>
        <v>4.97</v>
      </c>
      <c r="K12" s="82">
        <f>PERCENTILE(Q12:EC12,0.95)</f>
        <v>3.524</v>
      </c>
      <c r="L12" s="102" t="str">
        <f>IF(H12&lt;1,"A",IF(H12&lt;2,"B",IF(H12&lt;3,"C",IF(H12&lt;5,"D","E"))))</f>
        <v>B</v>
      </c>
      <c r="N12" s="116" t="s">
        <v>94</v>
      </c>
      <c r="O12" s="108"/>
      <c r="P12" t="s">
        <v>94</v>
      </c>
      <c r="Q12">
        <v>3.54</v>
      </c>
      <c r="R12">
        <v>2.79</v>
      </c>
      <c r="S12">
        <v>1.84</v>
      </c>
      <c r="T12">
        <v>2.07</v>
      </c>
      <c r="U12">
        <v>3.38</v>
      </c>
      <c r="V12">
        <v>1.1</v>
      </c>
      <c r="W12">
        <v>2.83</v>
      </c>
      <c r="X12">
        <v>1.56</v>
      </c>
      <c r="Y12">
        <v>1.12</v>
      </c>
      <c r="Z12">
        <v>0.85</v>
      </c>
      <c r="AA12">
        <v>2.4</v>
      </c>
      <c r="AB12">
        <v>0.77</v>
      </c>
      <c r="AC12">
        <v>0.9</v>
      </c>
      <c r="AD12">
        <v>4.97</v>
      </c>
      <c r="AE12">
        <v>3.23</v>
      </c>
      <c r="AF12">
        <v>1.5</v>
      </c>
      <c r="AG12">
        <v>1.29</v>
      </c>
      <c r="AH12">
        <v>0.76</v>
      </c>
      <c r="AI12">
        <v>2.52</v>
      </c>
      <c r="AJ12">
        <v>1.19</v>
      </c>
      <c r="AK12">
        <v>2.38</v>
      </c>
      <c r="AL12">
        <v>1.75</v>
      </c>
      <c r="AM12">
        <v>2.78</v>
      </c>
    </row>
    <row r="13" spans="2:39" ht="12.75">
      <c r="B13" s="71"/>
      <c r="C13" s="6" t="s">
        <v>13</v>
      </c>
      <c r="D13" s="81">
        <f>COUNT(Q13:EC13)</f>
        <v>23</v>
      </c>
      <c r="E13" s="44">
        <f>AVERAGE(Q13:EC13)</f>
        <v>2.489130434782609</v>
      </c>
      <c r="F13" s="44">
        <f t="shared" si="0"/>
        <v>0.3318397783969407</v>
      </c>
      <c r="G13" s="44">
        <f>STDEV(Q13:EC13)</f>
        <v>0.8119780171871991</v>
      </c>
      <c r="H13" s="44">
        <f>QUARTILE(Q13:EC13,2)</f>
        <v>2.3</v>
      </c>
      <c r="I13" s="44">
        <f>MIN(Q13:EC13)</f>
        <v>1.2</v>
      </c>
      <c r="J13" s="44">
        <f>MAX(Q13:EC13)</f>
        <v>4.1</v>
      </c>
      <c r="K13" s="44">
        <f>PERCENTILE(Q13:EC13,0.95)</f>
        <v>3.9599999999999995</v>
      </c>
      <c r="L13" s="102" t="str">
        <f>IF(H13&gt;6,"A",IF(H13&gt;4,"B",IF(H13&gt;2.5,"C",IF(H13&gt;0.6,"D","E"))))</f>
        <v>D</v>
      </c>
      <c r="N13" s="116" t="s">
        <v>13</v>
      </c>
      <c r="O13" s="108"/>
      <c r="P13" t="s">
        <v>13</v>
      </c>
      <c r="Q13">
        <v>4</v>
      </c>
      <c r="R13">
        <v>2.7</v>
      </c>
      <c r="S13">
        <v>1.55</v>
      </c>
      <c r="T13">
        <v>2.1</v>
      </c>
      <c r="U13">
        <v>1.95</v>
      </c>
      <c r="V13">
        <v>2.55</v>
      </c>
      <c r="W13">
        <v>1.9</v>
      </c>
      <c r="X13">
        <v>2.3</v>
      </c>
      <c r="Y13">
        <v>3.1</v>
      </c>
      <c r="Z13">
        <v>3.6</v>
      </c>
      <c r="AA13">
        <v>4.1</v>
      </c>
      <c r="AB13">
        <v>3.5</v>
      </c>
      <c r="AC13">
        <v>3.4</v>
      </c>
      <c r="AD13">
        <v>1.5</v>
      </c>
      <c r="AE13">
        <v>2</v>
      </c>
      <c r="AF13">
        <v>2.7</v>
      </c>
      <c r="AG13">
        <v>2.4</v>
      </c>
      <c r="AH13">
        <v>2.8</v>
      </c>
      <c r="AI13">
        <v>1.5</v>
      </c>
      <c r="AJ13">
        <v>2.2</v>
      </c>
      <c r="AK13">
        <v>2</v>
      </c>
      <c r="AL13">
        <v>2.2</v>
      </c>
      <c r="AM13">
        <v>1.2</v>
      </c>
    </row>
    <row r="14" spans="2:39" ht="12.75">
      <c r="B14" s="72"/>
      <c r="C14" s="95" t="s">
        <v>14</v>
      </c>
      <c r="D14" s="87">
        <f>COUNT(Q14:EC14)</f>
        <v>23</v>
      </c>
      <c r="E14" s="115">
        <f>AVERAGE(Q14:EC14)</f>
        <v>23.87826086956522</v>
      </c>
      <c r="F14" s="115">
        <f t="shared" si="0"/>
        <v>43.312103361171744</v>
      </c>
      <c r="G14" s="115">
        <f>STDEV(Q14:EC14)</f>
        <v>105.98028957620434</v>
      </c>
      <c r="H14" s="115">
        <f>QUARTILE(Q14:EC14,2)</f>
        <v>2</v>
      </c>
      <c r="I14" s="115">
        <f>MIN(Q14:EC14)</f>
        <v>0.5</v>
      </c>
      <c r="J14" s="115">
        <f>MAX(Q14:EC14)</f>
        <v>510</v>
      </c>
      <c r="K14" s="115">
        <f>PERCENTILE(Q14:EC14,0.95)</f>
        <v>6.699999999999996</v>
      </c>
      <c r="L14" s="102"/>
      <c r="N14" s="116" t="s">
        <v>95</v>
      </c>
      <c r="O14" s="108"/>
      <c r="P14" t="s">
        <v>95</v>
      </c>
      <c r="Q14">
        <v>2</v>
      </c>
      <c r="R14">
        <v>7</v>
      </c>
      <c r="S14">
        <v>1</v>
      </c>
      <c r="T14">
        <v>2</v>
      </c>
      <c r="U14">
        <v>4</v>
      </c>
      <c r="V14">
        <v>0.6</v>
      </c>
      <c r="W14">
        <v>2</v>
      </c>
      <c r="X14">
        <v>2</v>
      </c>
      <c r="Y14">
        <v>2</v>
      </c>
      <c r="Z14">
        <v>0.8</v>
      </c>
      <c r="AA14">
        <v>0.7</v>
      </c>
      <c r="AB14">
        <v>0.8</v>
      </c>
      <c r="AC14">
        <v>0.8</v>
      </c>
      <c r="AD14">
        <v>3</v>
      </c>
      <c r="AE14">
        <v>2</v>
      </c>
      <c r="AF14">
        <v>1</v>
      </c>
      <c r="AG14">
        <v>1</v>
      </c>
      <c r="AH14">
        <v>0.5</v>
      </c>
      <c r="AI14">
        <v>2</v>
      </c>
      <c r="AJ14">
        <v>1</v>
      </c>
      <c r="AK14">
        <v>1</v>
      </c>
      <c r="AL14">
        <v>510</v>
      </c>
      <c r="AM14">
        <v>2</v>
      </c>
    </row>
    <row r="15" spans="2:39" ht="12.75">
      <c r="B15" s="208" t="s">
        <v>267</v>
      </c>
      <c r="C15" s="8" t="s">
        <v>268</v>
      </c>
      <c r="D15" s="81">
        <f>COUNT(Q15:EC15)</f>
        <v>23</v>
      </c>
      <c r="E15" s="40">
        <f>AVERAGE(Q15:EC15)</f>
        <v>580.6521739130435</v>
      </c>
      <c r="F15" s="40">
        <f t="shared" si="0"/>
        <v>182.6476078655851</v>
      </c>
      <c r="G15" s="40">
        <f>STDEV(Q15:EC15)</f>
        <v>446.9200262702746</v>
      </c>
      <c r="H15" s="40">
        <f>QUARTILE(Q15:EC15,2)</f>
        <v>365</v>
      </c>
      <c r="I15" s="40">
        <f>MIN(Q15:EC15)</f>
        <v>17</v>
      </c>
      <c r="J15" s="40">
        <f>MAX(Q15:EC15)</f>
        <v>1600</v>
      </c>
      <c r="K15" s="40">
        <f>PERCENTILE(Q15:EC15,0.95)</f>
        <v>1100</v>
      </c>
      <c r="L15" s="106" t="str">
        <f>IF(H15&lt;10,"A",IF(H15&lt;130,"B",IF(H15&lt;260,"C",IF(H15&lt;550,"D","E"))))</f>
        <v>D</v>
      </c>
      <c r="N15" s="116" t="s">
        <v>255</v>
      </c>
      <c r="O15" s="108"/>
      <c r="P15" t="s">
        <v>255</v>
      </c>
      <c r="Q15">
        <v>280</v>
      </c>
      <c r="R15">
        <v>1000</v>
      </c>
      <c r="S15">
        <v>300</v>
      </c>
      <c r="T15">
        <v>1600</v>
      </c>
      <c r="U15">
        <v>860</v>
      </c>
      <c r="V15">
        <v>540</v>
      </c>
      <c r="W15">
        <v>185</v>
      </c>
      <c r="X15">
        <v>860</v>
      </c>
      <c r="Y15">
        <v>1000</v>
      </c>
      <c r="Z15">
        <v>1100</v>
      </c>
      <c r="AA15">
        <v>95</v>
      </c>
      <c r="AB15">
        <v>293</v>
      </c>
      <c r="AC15">
        <v>800</v>
      </c>
      <c r="AD15">
        <v>260</v>
      </c>
      <c r="AE15">
        <v>17</v>
      </c>
      <c r="AF15">
        <v>365</v>
      </c>
      <c r="AG15">
        <v>1100</v>
      </c>
      <c r="AH15">
        <v>84</v>
      </c>
      <c r="AI15">
        <v>146</v>
      </c>
      <c r="AJ15">
        <v>940</v>
      </c>
      <c r="AK15">
        <v>1100</v>
      </c>
      <c r="AL15">
        <v>365</v>
      </c>
      <c r="AM15">
        <v>65</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111.61116666666668</v>
      </c>
      <c r="F17" s="44">
        <f>CONFIDENCE(0.05,G17,D17)</f>
        <v>3.4173840614544417</v>
      </c>
      <c r="G17" s="44">
        <f>STDEV(Q17:EC17)</f>
        <v>4.270918890199793</v>
      </c>
      <c r="H17" s="44">
        <f>QUARTILE(Q17:EC17,2)</f>
        <v>112.8335</v>
      </c>
      <c r="I17" s="44">
        <f>MIN(Q17:EC17)</f>
        <v>104</v>
      </c>
      <c r="J17" s="44">
        <f>MAX(Q17:EC17)</f>
        <v>116</v>
      </c>
      <c r="K17" s="44">
        <f>PERCENTILE(Q17:EC17,0.95)</f>
        <v>115.5</v>
      </c>
      <c r="L17" s="102" t="str">
        <f>IF(H17&gt;120,"A",IF(H17&gt;100,"B",IF(H17&gt;80,"C",IF(H17&gt;60,"D","E"))))</f>
        <v>B</v>
      </c>
      <c r="N17" s="116" t="s">
        <v>17</v>
      </c>
      <c r="O17" s="108"/>
      <c r="P17" t="s">
        <v>17</v>
      </c>
      <c r="Q17">
        <v>114</v>
      </c>
      <c r="U17">
        <v>116</v>
      </c>
      <c r="X17">
        <v>104</v>
      </c>
      <c r="AB17">
        <v>110</v>
      </c>
      <c r="AF17">
        <v>114</v>
      </c>
      <c r="AJ17">
        <v>111.667</v>
      </c>
    </row>
    <row r="18" spans="2:36" ht="12.75">
      <c r="B18" s="74"/>
      <c r="C18" s="96" t="s">
        <v>18</v>
      </c>
      <c r="D18" s="81">
        <f>COUNT(Q18:EC18)</f>
        <v>6</v>
      </c>
      <c r="E18" s="44">
        <f>AVERAGE(Q18:EC18)</f>
        <v>6.421666666666666</v>
      </c>
      <c r="F18" s="44">
        <f>CONFIDENCE(0.05,G18,D18)</f>
        <v>0.37020036698503006</v>
      </c>
      <c r="G18" s="44">
        <f>STDEV(Q18:EC18)</f>
        <v>0.4626625840357975</v>
      </c>
      <c r="H18" s="44">
        <f>QUARTILE(Q18:EC18,2)</f>
        <v>6.445</v>
      </c>
      <c r="I18" s="44">
        <f>MIN(Q18:EC18)</f>
        <v>5.92</v>
      </c>
      <c r="J18" s="44">
        <f>MAX(Q18:EC18)</f>
        <v>7.21</v>
      </c>
      <c r="K18" s="44">
        <f>PERCENTILE(Q18:EC18,0.95)</f>
        <v>7.0375</v>
      </c>
      <c r="L18" s="105" t="str">
        <f>IF(H18&gt;6,"A",IF(H18&gt;5,"B",IF(H18&gt;4,"C",IF(H18&gt;3,"D","E"))))</f>
        <v>A</v>
      </c>
      <c r="N18" s="116" t="s">
        <v>18</v>
      </c>
      <c r="O18" s="108"/>
      <c r="P18" t="s">
        <v>18</v>
      </c>
      <c r="Q18">
        <v>6.44</v>
      </c>
      <c r="U18">
        <v>5.99</v>
      </c>
      <c r="X18">
        <v>6.45</v>
      </c>
      <c r="AB18">
        <v>5.92</v>
      </c>
      <c r="AF18">
        <v>6.52</v>
      </c>
      <c r="AJ18">
        <v>7.21</v>
      </c>
    </row>
    <row r="19" spans="2:36" ht="12.75">
      <c r="B19" s="71" t="s">
        <v>106</v>
      </c>
      <c r="C19" s="7" t="s">
        <v>19</v>
      </c>
      <c r="D19" s="86">
        <f>COUNT(Q19:EC19)</f>
        <v>7</v>
      </c>
      <c r="E19" s="113">
        <f>AVERAGE(Q19:EC19)</f>
        <v>8.137571428571428</v>
      </c>
      <c r="F19" s="113">
        <f>CONFIDENCE(0.05,G19,D19)</f>
        <v>1.9754441463544563</v>
      </c>
      <c r="G19" s="113">
        <f>STDEV(Q19:EC19)</f>
        <v>2.666647949339073</v>
      </c>
      <c r="H19" s="113">
        <f>QUARTILE(Q19:EC19,2)</f>
        <v>9.37</v>
      </c>
      <c r="I19" s="113">
        <f>MIN(Q19:EC19)</f>
        <v>3.49</v>
      </c>
      <c r="J19" s="113">
        <f>MAX(Q19:EC19)</f>
        <v>10</v>
      </c>
      <c r="K19" s="113">
        <f>PERCENTILE(Q19:EC19,0.95)</f>
        <v>10</v>
      </c>
      <c r="L19" s="102" t="str">
        <f>IF(H19&gt;8,"A",IF(H19&gt;6,"B",IF(H19&gt;4,"C",IF(H19&gt;2,"D","E"))))</f>
        <v>A</v>
      </c>
      <c r="N19" s="116" t="s">
        <v>96</v>
      </c>
      <c r="O19" s="108"/>
      <c r="P19" t="s">
        <v>96</v>
      </c>
      <c r="R19">
        <v>5.21</v>
      </c>
      <c r="S19">
        <v>3.49</v>
      </c>
      <c r="T19">
        <v>9.37</v>
      </c>
      <c r="X19">
        <v>10</v>
      </c>
      <c r="AB19">
        <v>10</v>
      </c>
      <c r="AF19">
        <v>10</v>
      </c>
      <c r="AJ19">
        <v>8.893</v>
      </c>
    </row>
    <row r="20" spans="2:36" ht="13.5" thickBot="1">
      <c r="B20" s="72"/>
      <c r="C20" s="97" t="s">
        <v>122</v>
      </c>
      <c r="D20" s="87">
        <f>COUNT(Q20:EC20)</f>
        <v>4</v>
      </c>
      <c r="E20" s="114">
        <f>AVERAGE(Q20:EC20)</f>
        <v>0</v>
      </c>
      <c r="F20" s="114" t="e">
        <f>CONFIDENCE(0.05,G20,D20)</f>
        <v>#NUM!</v>
      </c>
      <c r="G20" s="114">
        <f>STDEV(Q20:EC20)</f>
        <v>0</v>
      </c>
      <c r="H20" s="114">
        <f>QUARTILE(Q20:EC20,2)</f>
        <v>0</v>
      </c>
      <c r="I20" s="114">
        <f>MIN(Q20:EC20)</f>
        <v>0</v>
      </c>
      <c r="J20" s="114">
        <f>MAX(Q20:EC20)</f>
        <v>0</v>
      </c>
      <c r="K20" s="114">
        <f>PERCENTILE(Q20:EC20,0.95)</f>
        <v>0</v>
      </c>
      <c r="L20" s="105"/>
      <c r="N20" s="116" t="s">
        <v>97</v>
      </c>
      <c r="O20" s="108"/>
      <c r="P20" t="s">
        <v>97</v>
      </c>
      <c r="X20">
        <v>0</v>
      </c>
      <c r="AB20">
        <v>0</v>
      </c>
      <c r="AF20">
        <v>0</v>
      </c>
      <c r="AJ20">
        <v>0</v>
      </c>
    </row>
    <row r="21" spans="2:15" ht="12.75">
      <c r="B21" s="80"/>
      <c r="C21" s="89"/>
      <c r="D21" s="89"/>
      <c r="E21" s="89"/>
      <c r="F21" s="89"/>
      <c r="G21" s="89"/>
      <c r="H21" s="89"/>
      <c r="I21" s="89"/>
      <c r="J21" s="89"/>
      <c r="K21" s="89"/>
      <c r="L21" s="100"/>
      <c r="O21" s="108"/>
    </row>
    <row r="22" spans="2:15" ht="12.75">
      <c r="B22" s="210" t="s">
        <v>119</v>
      </c>
      <c r="C22" s="211"/>
      <c r="D22" s="211"/>
      <c r="E22" s="211"/>
      <c r="F22" s="211"/>
      <c r="G22" s="76" t="str">
        <f>'Combined Score Calcs'!Z10</f>
        <v>C</v>
      </c>
      <c r="H22" s="39"/>
      <c r="I22" s="39"/>
      <c r="J22" s="39"/>
      <c r="K22" s="99"/>
      <c r="L22" s="90"/>
      <c r="N22" s="111"/>
      <c r="O22" s="108"/>
    </row>
    <row r="23" spans="2:17" ht="13.5" thickBot="1">
      <c r="B23" s="83"/>
      <c r="C23" s="84"/>
      <c r="D23" s="84"/>
      <c r="E23" s="84"/>
      <c r="F23" s="84"/>
      <c r="G23" s="84"/>
      <c r="H23" s="84"/>
      <c r="I23" s="84"/>
      <c r="J23" s="84"/>
      <c r="K23" s="84"/>
      <c r="L23" s="91"/>
      <c r="N23" s="111"/>
      <c r="O23" s="108"/>
      <c r="Q23" s="20"/>
    </row>
    <row r="24" spans="12:17" ht="12.75">
      <c r="L24" s="60"/>
      <c r="N24" s="111"/>
      <c r="O24" s="108"/>
      <c r="Q24" s="20"/>
    </row>
    <row r="25" spans="12:15" ht="12.75">
      <c r="L25" s="60"/>
      <c r="O25" s="108"/>
    </row>
    <row r="26" spans="12:15" ht="12.75">
      <c r="L26" s="60"/>
      <c r="O26" s="108"/>
    </row>
    <row r="27" spans="12:15" ht="12.75">
      <c r="L27" s="60"/>
      <c r="O27" s="108"/>
    </row>
    <row r="28" spans="7:15" ht="12.75">
      <c r="G28" t="s">
        <v>140</v>
      </c>
      <c r="H28" t="s">
        <v>141</v>
      </c>
      <c r="L28" s="60"/>
      <c r="O28" s="108"/>
    </row>
    <row r="29" spans="5:15" ht="12.75">
      <c r="E29" s="158"/>
      <c r="F29" s="153"/>
      <c r="G29" s="118" t="s">
        <v>21</v>
      </c>
      <c r="H29" s="136">
        <v>1.5</v>
      </c>
      <c r="I29" s="137">
        <v>10</v>
      </c>
      <c r="J29" s="119"/>
      <c r="K29" s="119"/>
      <c r="L29" s="60"/>
      <c r="O29" s="108"/>
    </row>
    <row r="30" spans="5:12" ht="12.75">
      <c r="E30" s="158"/>
      <c r="F30" s="153"/>
      <c r="G30" s="122" t="s">
        <v>22</v>
      </c>
      <c r="H30" s="137">
        <v>65</v>
      </c>
      <c r="I30" s="137">
        <v>270</v>
      </c>
      <c r="J30" s="119"/>
      <c r="K30" s="119"/>
      <c r="L30" s="60"/>
    </row>
    <row r="31" spans="5:12" ht="12.75">
      <c r="E31" s="158"/>
      <c r="F31" s="153"/>
      <c r="G31" s="122" t="s">
        <v>23</v>
      </c>
      <c r="H31" s="137">
        <v>50</v>
      </c>
      <c r="I31" s="137">
        <v>220</v>
      </c>
      <c r="J31" s="119"/>
      <c r="K31" s="119"/>
      <c r="L31" s="60"/>
    </row>
    <row r="32" spans="5:12" ht="12.75">
      <c r="E32" s="158"/>
      <c r="F32" s="153"/>
      <c r="G32" s="122" t="s">
        <v>24</v>
      </c>
      <c r="H32" s="137">
        <v>200</v>
      </c>
      <c r="I32" s="137">
        <v>210</v>
      </c>
      <c r="J32" s="119"/>
      <c r="K32" s="119"/>
      <c r="L32" s="60"/>
    </row>
    <row r="33" spans="7:12" ht="12.75">
      <c r="G33" s="122"/>
      <c r="H33" t="s">
        <v>137</v>
      </c>
      <c r="I33" t="s">
        <v>138</v>
      </c>
      <c r="L33" s="60"/>
    </row>
    <row r="34" ht="12.75">
      <c r="L34" s="60"/>
    </row>
    <row r="35" ht="12.75">
      <c r="L35" s="60"/>
    </row>
    <row r="36" spans="5:12" ht="12.75">
      <c r="E36" s="158"/>
      <c r="F36" s="153"/>
      <c r="G36" s="119"/>
      <c r="H36" s="119"/>
      <c r="I36" s="119"/>
      <c r="J36" s="119"/>
      <c r="K36" s="119"/>
      <c r="L36" s="60"/>
    </row>
    <row r="37" spans="5:12" ht="12.75">
      <c r="E37" s="158"/>
      <c r="F37" s="153"/>
      <c r="G37" s="119"/>
      <c r="H37" s="119"/>
      <c r="I37" s="119"/>
      <c r="J37" s="119"/>
      <c r="K37" s="119"/>
      <c r="L37" s="60"/>
    </row>
    <row r="38" spans="5:12" ht="12.75">
      <c r="E38" s="158"/>
      <c r="F38" s="153"/>
      <c r="G38" s="119"/>
      <c r="H38" s="119"/>
      <c r="I38" s="119"/>
      <c r="J38" s="119"/>
      <c r="K38" s="119"/>
      <c r="L38" s="60"/>
    </row>
    <row r="39" spans="5:12" ht="12.75">
      <c r="E39" s="158"/>
      <c r="F39" s="153"/>
      <c r="G39" s="119"/>
      <c r="H39" s="119"/>
      <c r="I39" s="119"/>
      <c r="J39" s="119"/>
      <c r="K39" s="119"/>
      <c r="L39" s="60"/>
    </row>
    <row r="40" spans="5:12" ht="12.75">
      <c r="E40" s="158"/>
      <c r="F40" s="153"/>
      <c r="G40" s="119"/>
      <c r="H40" s="119"/>
      <c r="I40" s="119"/>
      <c r="J40" s="119"/>
      <c r="K40" s="119"/>
      <c r="L40" s="60"/>
    </row>
    <row r="41" spans="5:12" ht="12.75">
      <c r="E41" s="158"/>
      <c r="F41" s="153"/>
      <c r="G41" s="119"/>
      <c r="H41" s="119"/>
      <c r="I41" s="119"/>
      <c r="J41" s="119"/>
      <c r="K41" s="119"/>
      <c r="L41" s="60"/>
    </row>
    <row r="42" ht="12.75">
      <c r="L42" s="60"/>
    </row>
  </sheetData>
  <mergeCells count="1">
    <mergeCell ref="B22:F22"/>
  </mergeCells>
  <printOptions/>
  <pageMargins left="0.75" right="0.75" top="1" bottom="1" header="0.5" footer="0.5"/>
  <pageSetup horizontalDpi="600" verticalDpi="600" orientation="portrait" paperSize="133" r:id="rId1"/>
</worksheet>
</file>

<file path=xl/worksheets/sheet8.xml><?xml version="1.0" encoding="utf-8"?>
<worksheet xmlns="http://schemas.openxmlformats.org/spreadsheetml/2006/main" xmlns:r="http://schemas.openxmlformats.org/officeDocument/2006/relationships">
  <dimension ref="B1:AQ42"/>
  <sheetViews>
    <sheetView workbookViewId="0" topLeftCell="A1">
      <selection activeCell="B3" sqref="B3:L23"/>
    </sheetView>
  </sheetViews>
  <sheetFormatPr defaultColWidth="9.140625" defaultRowHeight="12.75"/>
  <cols>
    <col min="3" max="3" width="28.7109375" style="0" bestFit="1" customWidth="1"/>
    <col min="14" max="14" width="34.140625" style="0" customWidth="1"/>
    <col min="16" max="16" width="33.57421875" style="0" customWidth="1"/>
    <col min="17" max="17" width="14.421875" style="0" bestFit="1" customWidth="1"/>
  </cols>
  <sheetData>
    <row r="1" spans="2:15" ht="15.75">
      <c r="B1" s="107" t="s">
        <v>158</v>
      </c>
      <c r="O1" s="109" t="s">
        <v>125</v>
      </c>
    </row>
    <row r="2" spans="12:39" ht="13.5" thickBot="1">
      <c r="L2" s="60"/>
      <c r="N2" s="116" t="s">
        <v>84</v>
      </c>
      <c r="O2" s="110"/>
      <c r="P2" t="s">
        <v>84</v>
      </c>
      <c r="Q2" t="s">
        <v>63</v>
      </c>
      <c r="R2" t="s">
        <v>63</v>
      </c>
      <c r="S2" t="s">
        <v>63</v>
      </c>
      <c r="T2" t="s">
        <v>63</v>
      </c>
      <c r="U2" t="s">
        <v>63</v>
      </c>
      <c r="V2" t="s">
        <v>63</v>
      </c>
      <c r="W2" t="s">
        <v>63</v>
      </c>
      <c r="X2" t="s">
        <v>63</v>
      </c>
      <c r="Y2" t="s">
        <v>63</v>
      </c>
      <c r="Z2" t="s">
        <v>63</v>
      </c>
      <c r="AA2" t="s">
        <v>63</v>
      </c>
      <c r="AB2" t="s">
        <v>63</v>
      </c>
      <c r="AC2" t="s">
        <v>63</v>
      </c>
      <c r="AD2" t="s">
        <v>63</v>
      </c>
      <c r="AE2" t="s">
        <v>63</v>
      </c>
      <c r="AF2" t="s">
        <v>63</v>
      </c>
      <c r="AG2" t="s">
        <v>63</v>
      </c>
      <c r="AH2" t="s">
        <v>63</v>
      </c>
      <c r="AI2" t="s">
        <v>63</v>
      </c>
      <c r="AJ2" t="s">
        <v>63</v>
      </c>
      <c r="AK2" t="s">
        <v>63</v>
      </c>
      <c r="AL2" t="s">
        <v>63</v>
      </c>
      <c r="AM2" t="s">
        <v>63</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36833.395833333336</v>
      </c>
      <c r="R3" s="64">
        <v>36921.645833333336</v>
      </c>
      <c r="S3" s="64">
        <v>37012.645833333336</v>
      </c>
      <c r="T3" s="64">
        <v>37109.65277777778</v>
      </c>
      <c r="U3" s="64">
        <v>37223.5625</v>
      </c>
      <c r="V3" s="64">
        <v>37383.694444444445</v>
      </c>
      <c r="W3" s="64">
        <v>37474.67361111111</v>
      </c>
      <c r="X3" s="64">
        <v>37587.67361111111</v>
      </c>
      <c r="Y3" s="64">
        <v>37649.56597222222</v>
      </c>
      <c r="Z3" s="64">
        <v>37747.541666666664</v>
      </c>
      <c r="AA3" s="64">
        <v>37838.53472222222</v>
      </c>
      <c r="AB3" s="64">
        <v>37950.666666666664</v>
      </c>
      <c r="AC3" s="64">
        <v>38028.520833333336</v>
      </c>
      <c r="AD3" s="64">
        <v>38112.48263888889</v>
      </c>
      <c r="AE3" s="64">
        <v>38202.635416666664</v>
      </c>
      <c r="AF3" s="64">
        <v>38336.569444444445</v>
      </c>
      <c r="AG3" s="64">
        <v>38393.62847222222</v>
      </c>
      <c r="AH3" s="64">
        <v>38477.645833333336</v>
      </c>
      <c r="AI3" s="64">
        <v>38593.64097222222</v>
      </c>
      <c r="AJ3" s="64">
        <v>38680.61111111111</v>
      </c>
      <c r="AK3" s="64">
        <v>38776.69097222222</v>
      </c>
      <c r="AL3" s="64">
        <v>38869.614583333336</v>
      </c>
      <c r="AM3" s="64">
        <v>38960.649305555555</v>
      </c>
      <c r="AO3" s="64"/>
      <c r="AP3" s="64"/>
      <c r="AQ3" s="64"/>
    </row>
    <row r="4" spans="2:39" ht="12.75">
      <c r="B4" s="68" t="s">
        <v>103</v>
      </c>
      <c r="C4" s="93" t="s">
        <v>4</v>
      </c>
      <c r="D4" s="81">
        <f>COUNT(Q4:EC4)</f>
        <v>20</v>
      </c>
      <c r="E4" s="82">
        <f>AVERAGE(Q4:EC4)</f>
        <v>0.16260000000000002</v>
      </c>
      <c r="F4" s="82">
        <f aca="true" t="shared" si="0" ref="F4:F15">CONFIDENCE(0.05,G4,D4)</f>
        <v>0.07185943157913265</v>
      </c>
      <c r="G4" s="82">
        <f>STDEV(Q4:EC4)</f>
        <v>0.16396482292825718</v>
      </c>
      <c r="H4" s="82">
        <f>QUARTILE(Q4:EC4,2)</f>
        <v>0.095</v>
      </c>
      <c r="I4" s="82">
        <f>MIN(Q4:EC4)</f>
        <v>0.005</v>
      </c>
      <c r="J4" s="82">
        <f>MAX(Q4:EC4)</f>
        <v>0.6</v>
      </c>
      <c r="K4" s="82">
        <f>PERCENTILE(Q4:EC4,0.95)</f>
        <v>0.4005000000000002</v>
      </c>
      <c r="L4" s="102" t="str">
        <f>IF((H4+H5)&lt;0.08,"A",IF((H4+H5)&lt;0.12,"B",IF((H4+H5)&lt;0.295,"C",IF((H4+H5)&lt;0.444,"D","E"))))</f>
        <v>B</v>
      </c>
      <c r="N4" s="116" t="s">
        <v>86</v>
      </c>
      <c r="O4" s="108"/>
      <c r="P4" t="s">
        <v>86</v>
      </c>
      <c r="R4">
        <v>0.14</v>
      </c>
      <c r="S4">
        <v>0.1</v>
      </c>
      <c r="V4">
        <v>0.15</v>
      </c>
      <c r="W4">
        <v>0.33</v>
      </c>
      <c r="X4">
        <v>0.09</v>
      </c>
      <c r="Y4">
        <v>0.032</v>
      </c>
      <c r="Z4">
        <v>0.083</v>
      </c>
      <c r="AA4">
        <v>0.18</v>
      </c>
      <c r="AB4">
        <v>0.047</v>
      </c>
      <c r="AC4">
        <v>0.04</v>
      </c>
      <c r="AD4">
        <v>0.27</v>
      </c>
      <c r="AE4">
        <v>0.34</v>
      </c>
      <c r="AF4">
        <v>0.03</v>
      </c>
      <c r="AG4">
        <v>0.013</v>
      </c>
      <c r="AH4">
        <v>0.042</v>
      </c>
      <c r="AI4">
        <v>0.39</v>
      </c>
      <c r="AJ4">
        <v>0.02</v>
      </c>
      <c r="AK4">
        <v>0.005</v>
      </c>
      <c r="AL4">
        <v>0.6</v>
      </c>
      <c r="AM4">
        <v>0.35</v>
      </c>
    </row>
    <row r="5" spans="2:39" ht="12.75">
      <c r="B5" s="69"/>
      <c r="C5" s="5" t="s">
        <v>5</v>
      </c>
      <c r="D5" s="73">
        <f>COUNT(Q5:EC5)</f>
        <v>18</v>
      </c>
      <c r="E5" s="112">
        <f>AVERAGE(Q5:EC5)</f>
        <v>0.009166666666666668</v>
      </c>
      <c r="F5" s="112">
        <f t="shared" si="0"/>
        <v>0.004225844531147514</v>
      </c>
      <c r="G5" s="112">
        <f>STDEV(Q5:EC5)</f>
        <v>0.009147484385787993</v>
      </c>
      <c r="H5" s="112">
        <f>QUARTILE(Q5:EC5,2)</f>
        <v>0.0055</v>
      </c>
      <c r="I5" s="112">
        <f>MIN(Q5:EC5)</f>
        <v>0.005</v>
      </c>
      <c r="J5" s="112">
        <f>MAX(Q5:EC5)</f>
        <v>0.043</v>
      </c>
      <c r="K5" s="112">
        <f>PERCENTILE(Q5:EC5,0.95)</f>
        <v>0.020899999999999964</v>
      </c>
      <c r="L5" s="102"/>
      <c r="N5" s="116" t="s">
        <v>87</v>
      </c>
      <c r="O5" s="108"/>
      <c r="P5" t="s">
        <v>87</v>
      </c>
      <c r="V5">
        <v>0.015</v>
      </c>
      <c r="W5">
        <v>0.017</v>
      </c>
      <c r="X5">
        <v>0.043</v>
      </c>
      <c r="Y5">
        <v>0.009</v>
      </c>
      <c r="Z5">
        <v>0.009</v>
      </c>
      <c r="AA5">
        <v>0.006</v>
      </c>
      <c r="AB5">
        <v>0.008</v>
      </c>
      <c r="AC5">
        <v>0.005</v>
      </c>
      <c r="AD5">
        <v>0.005</v>
      </c>
      <c r="AE5">
        <v>0.005</v>
      </c>
      <c r="AF5">
        <v>0.005</v>
      </c>
      <c r="AG5">
        <v>0.005</v>
      </c>
      <c r="AH5">
        <v>0.005</v>
      </c>
      <c r="AI5">
        <v>0.006</v>
      </c>
      <c r="AJ5">
        <v>0.005</v>
      </c>
      <c r="AK5">
        <v>0.007</v>
      </c>
      <c r="AL5">
        <v>0.005</v>
      </c>
      <c r="AM5">
        <v>0.005</v>
      </c>
    </row>
    <row r="6" spans="2:39" ht="12.75">
      <c r="B6" s="70"/>
      <c r="C6" s="94" t="s">
        <v>6</v>
      </c>
      <c r="D6" s="73">
        <f>COUNT(Q6:EC6)</f>
        <v>23</v>
      </c>
      <c r="E6" s="112">
        <f>AVERAGE(Q6:EC6)</f>
        <v>0.011130434782608698</v>
      </c>
      <c r="F6" s="112">
        <f t="shared" si="0"/>
        <v>0.0017911916130040914</v>
      </c>
      <c r="G6" s="112">
        <f>STDEV(Q6:EC6)</f>
        <v>0.0043828627820190575</v>
      </c>
      <c r="H6" s="112">
        <f>QUARTILE(Q6:EC6,2)</f>
        <v>0.01</v>
      </c>
      <c r="I6" s="112">
        <f>MIN(Q6:EC6)</f>
        <v>0.005</v>
      </c>
      <c r="J6" s="112">
        <f>MAX(Q6:EC6)</f>
        <v>0.021</v>
      </c>
      <c r="K6" s="112">
        <f>PERCENTILE(Q6:EC6,0.95)</f>
        <v>0.0179</v>
      </c>
      <c r="L6" s="102" t="str">
        <f>IF((H6)&lt;0.005,"A",IF((H6)&lt;0.008,"B",IF((H6)&lt;0.026,"C",IF((H6)&lt;0.05,"D","E"))))</f>
        <v>C</v>
      </c>
      <c r="N6" s="116" t="s">
        <v>88</v>
      </c>
      <c r="O6" s="108"/>
      <c r="P6" t="s">
        <v>88</v>
      </c>
      <c r="Q6">
        <v>0.01</v>
      </c>
      <c r="R6">
        <v>0.009</v>
      </c>
      <c r="S6">
        <v>0.006</v>
      </c>
      <c r="T6">
        <v>0.016</v>
      </c>
      <c r="U6">
        <v>0.017</v>
      </c>
      <c r="V6">
        <v>0.014</v>
      </c>
      <c r="W6">
        <v>0.015</v>
      </c>
      <c r="X6">
        <v>0.014</v>
      </c>
      <c r="Y6">
        <v>0.009</v>
      </c>
      <c r="Z6">
        <v>0.007</v>
      </c>
      <c r="AA6">
        <v>0.021</v>
      </c>
      <c r="AB6">
        <v>0.009</v>
      </c>
      <c r="AC6">
        <v>0.009</v>
      </c>
      <c r="AD6">
        <v>0.011</v>
      </c>
      <c r="AE6">
        <v>0.018</v>
      </c>
      <c r="AF6">
        <v>0.007</v>
      </c>
      <c r="AG6">
        <v>0.009</v>
      </c>
      <c r="AH6">
        <v>0.005</v>
      </c>
      <c r="AI6">
        <v>0.013</v>
      </c>
      <c r="AJ6">
        <v>0.007</v>
      </c>
      <c r="AK6">
        <v>0.005</v>
      </c>
      <c r="AL6">
        <v>0.014</v>
      </c>
      <c r="AM6">
        <v>0.011</v>
      </c>
    </row>
    <row r="7" spans="2:39" ht="12.75">
      <c r="B7" s="71" t="s">
        <v>104</v>
      </c>
      <c r="C7" s="6" t="s">
        <v>7</v>
      </c>
      <c r="D7" s="86">
        <f>COUNT(Q7:EC7)</f>
        <v>23</v>
      </c>
      <c r="E7" s="113">
        <f>AVERAGE(Q7:EC7)</f>
        <v>7.823043478260868</v>
      </c>
      <c r="F7" s="113">
        <f t="shared" si="0"/>
        <v>0.14044286289895735</v>
      </c>
      <c r="G7" s="113">
        <f>STDEV(Q7:EC7)</f>
        <v>0.3436493294917182</v>
      </c>
      <c r="H7" s="113">
        <f>QUARTILE(Q7:EC7,2)</f>
        <v>7.79</v>
      </c>
      <c r="I7" s="113">
        <f>MIN(Q7:EC7)</f>
        <v>7.2</v>
      </c>
      <c r="J7" s="113">
        <f>MAX(Q7:EC7)</f>
        <v>8.53</v>
      </c>
      <c r="K7" s="113">
        <f>PERCENTILE(Q7:EC7,0.95)</f>
        <v>8.475</v>
      </c>
      <c r="L7" s="103" t="str">
        <f>IF(AND(7.2&lt;H7,H7&lt;9),"A",IF(AND(7.2&lt;=H7,H7&lt;=9),"B",IF(AND(6.5&lt;=H7,H7&lt;=9),"C",IF(AND(6.5&lt;=H7,H7&lt;=10),"D","E"))))</f>
        <v>A</v>
      </c>
      <c r="N7" s="116" t="s">
        <v>89</v>
      </c>
      <c r="O7" s="108"/>
      <c r="P7" t="s">
        <v>89</v>
      </c>
      <c r="Q7">
        <v>7.92</v>
      </c>
      <c r="R7">
        <v>8.48</v>
      </c>
      <c r="S7">
        <v>8.53</v>
      </c>
      <c r="T7">
        <v>7.6</v>
      </c>
      <c r="U7">
        <v>7.2</v>
      </c>
      <c r="V7">
        <v>7.62</v>
      </c>
      <c r="W7">
        <v>7.89</v>
      </c>
      <c r="X7">
        <v>7.72</v>
      </c>
      <c r="Y7">
        <v>7.84</v>
      </c>
      <c r="Z7">
        <v>7.81</v>
      </c>
      <c r="AA7">
        <v>7.79</v>
      </c>
      <c r="AB7">
        <v>8.24</v>
      </c>
      <c r="AC7">
        <v>7.89</v>
      </c>
      <c r="AD7">
        <v>7.41</v>
      </c>
      <c r="AE7">
        <v>7.49</v>
      </c>
      <c r="AF7">
        <v>8.16</v>
      </c>
      <c r="AG7">
        <v>7.62</v>
      </c>
      <c r="AH7">
        <v>7.56</v>
      </c>
      <c r="AI7">
        <v>7.81</v>
      </c>
      <c r="AJ7">
        <v>7.57</v>
      </c>
      <c r="AK7">
        <v>7.65</v>
      </c>
      <c r="AL7">
        <v>7.7</v>
      </c>
      <c r="AM7">
        <v>8.43</v>
      </c>
    </row>
    <row r="8" spans="2:39" ht="12.75">
      <c r="B8" s="71"/>
      <c r="C8" s="6" t="s">
        <v>8</v>
      </c>
      <c r="D8" s="81">
        <f>COUNT(Q8:EC8)</f>
        <v>23</v>
      </c>
      <c r="E8" s="44">
        <f>AVERAGE(Q8:EC8)</f>
        <v>14.956521739130432</v>
      </c>
      <c r="F8" s="44">
        <f t="shared" si="0"/>
        <v>1.5813624209897597</v>
      </c>
      <c r="G8" s="44">
        <f>STDEV(Q8:EC8)</f>
        <v>3.8694321978291546</v>
      </c>
      <c r="H8" s="44">
        <f>QUARTILE(Q8:EC8,2)</f>
        <v>13.91</v>
      </c>
      <c r="I8" s="44">
        <f>MIN(Q8:EC8)</f>
        <v>9.8</v>
      </c>
      <c r="J8" s="44">
        <f>MAX(Q8:EC8)</f>
        <v>24.6</v>
      </c>
      <c r="K8" s="44">
        <f>PERCENTILE(Q8:EC8,0.95)</f>
        <v>21.301999999999996</v>
      </c>
      <c r="L8" s="102" t="str">
        <f>IF(H8&lt;18,"A",IF(H8&lt;20,"B",IF(H8&lt;22,"C",IF(H8&lt;25,"D","E"))))</f>
        <v>A</v>
      </c>
      <c r="N8" s="116" t="s">
        <v>90</v>
      </c>
      <c r="O8" s="108"/>
      <c r="P8" t="s">
        <v>90</v>
      </c>
      <c r="Q8">
        <v>11.4</v>
      </c>
      <c r="R8">
        <v>24.6</v>
      </c>
      <c r="S8">
        <v>14.4</v>
      </c>
      <c r="T8">
        <v>11.1</v>
      </c>
      <c r="U8">
        <v>13.4</v>
      </c>
      <c r="V8">
        <v>13.91</v>
      </c>
      <c r="W8">
        <v>11</v>
      </c>
      <c r="X8">
        <v>18.2</v>
      </c>
      <c r="Y8">
        <v>19.5</v>
      </c>
      <c r="Z8">
        <v>12.4</v>
      </c>
      <c r="AA8">
        <v>11.9</v>
      </c>
      <c r="AB8">
        <v>17.8</v>
      </c>
      <c r="AC8">
        <v>17.4</v>
      </c>
      <c r="AD8">
        <v>12.6</v>
      </c>
      <c r="AE8">
        <v>9.8</v>
      </c>
      <c r="AF8">
        <v>16.2</v>
      </c>
      <c r="AG8">
        <v>21.4</v>
      </c>
      <c r="AH8">
        <v>14.4</v>
      </c>
      <c r="AI8">
        <v>12.44</v>
      </c>
      <c r="AJ8">
        <v>15.52</v>
      </c>
      <c r="AK8">
        <v>20.42</v>
      </c>
      <c r="AL8">
        <v>12.01</v>
      </c>
      <c r="AM8">
        <v>12.2</v>
      </c>
    </row>
    <row r="9" spans="2:39" ht="12.75">
      <c r="B9" s="71"/>
      <c r="C9" s="7" t="s">
        <v>9</v>
      </c>
      <c r="D9" s="81">
        <f>COUNT(Q9:EC9)</f>
        <v>23</v>
      </c>
      <c r="E9" s="44">
        <f>AVERAGE(Q9:EC9)</f>
        <v>105.16086956521738</v>
      </c>
      <c r="F9" s="44">
        <f t="shared" si="0"/>
        <v>3.2622102958554966</v>
      </c>
      <c r="G9" s="44">
        <f>STDEV(Q9:EC9)</f>
        <v>7.982295131923317</v>
      </c>
      <c r="H9" s="44">
        <f>QUARTILE(Q9:EC9,2)</f>
        <v>105</v>
      </c>
      <c r="I9" s="44">
        <f>MIN(Q9:EC9)</f>
        <v>94.2</v>
      </c>
      <c r="J9" s="44">
        <f>MAX(Q9:EC9)</f>
        <v>127.7</v>
      </c>
      <c r="K9" s="44">
        <f>PERCENTILE(Q9:EC9,0.95)</f>
        <v>115.22</v>
      </c>
      <c r="L9" s="104" t="str">
        <f>IF(AND(99&lt;=H9,H9&lt;=103),"A",IF(AND(98&lt;=H9,H9&lt;=105),"B",IF(H9&gt;90,"C",IF(H9&gt;80,"D","E"))))</f>
        <v>B</v>
      </c>
      <c r="N9" s="116" t="s">
        <v>91</v>
      </c>
      <c r="O9" s="108"/>
      <c r="P9" t="s">
        <v>91</v>
      </c>
      <c r="Q9">
        <v>96</v>
      </c>
      <c r="R9">
        <v>105</v>
      </c>
      <c r="S9">
        <v>105</v>
      </c>
      <c r="T9">
        <v>104.9</v>
      </c>
      <c r="U9">
        <v>98.4</v>
      </c>
      <c r="V9">
        <v>95.4</v>
      </c>
      <c r="W9">
        <v>107.7</v>
      </c>
      <c r="X9">
        <v>100.7</v>
      </c>
      <c r="Y9">
        <v>127.7</v>
      </c>
      <c r="Z9">
        <v>103.2</v>
      </c>
      <c r="AA9">
        <v>109.4</v>
      </c>
      <c r="AB9">
        <v>105.8</v>
      </c>
      <c r="AC9">
        <v>113.5</v>
      </c>
      <c r="AD9">
        <v>97.7</v>
      </c>
      <c r="AE9">
        <v>97.6</v>
      </c>
      <c r="AF9">
        <v>115.4</v>
      </c>
      <c r="AG9">
        <v>110.1</v>
      </c>
      <c r="AH9">
        <v>101</v>
      </c>
      <c r="AI9">
        <v>112.7</v>
      </c>
      <c r="AJ9">
        <v>105.1</v>
      </c>
      <c r="AK9">
        <v>94.2</v>
      </c>
      <c r="AL9">
        <v>98.6</v>
      </c>
      <c r="AM9">
        <v>113.6</v>
      </c>
    </row>
    <row r="10" spans="2:39" ht="12.75">
      <c r="B10" s="71"/>
      <c r="C10" s="6" t="s">
        <v>10</v>
      </c>
      <c r="D10" s="81">
        <f>COUNT(Q10:EC10)</f>
        <v>23</v>
      </c>
      <c r="E10" s="44">
        <f>AVERAGE(Q10:EC10)</f>
        <v>10.652173913043478</v>
      </c>
      <c r="F10" s="44">
        <f t="shared" si="0"/>
        <v>0.40808578325588873</v>
      </c>
      <c r="G10" s="44">
        <f>STDEV(Q10:EC10)</f>
        <v>0.9985441972361698</v>
      </c>
      <c r="H10" s="44">
        <f>QUARTILE(Q10:EC10,2)</f>
        <v>10.62</v>
      </c>
      <c r="I10" s="44">
        <f>MIN(Q10:EC10)</f>
        <v>8.48</v>
      </c>
      <c r="J10" s="44">
        <f>MAX(Q10:EC10)</f>
        <v>12.16</v>
      </c>
      <c r="K10" s="44">
        <f>PERCENTILE(Q10:EC10,0.95)</f>
        <v>12.011999999999999</v>
      </c>
      <c r="L10" s="102"/>
      <c r="N10" s="116" t="s">
        <v>92</v>
      </c>
      <c r="O10" s="108"/>
      <c r="P10" t="s">
        <v>92</v>
      </c>
      <c r="Q10">
        <v>10.48</v>
      </c>
      <c r="R10">
        <v>8.68</v>
      </c>
      <c r="S10">
        <v>10.65</v>
      </c>
      <c r="T10">
        <v>11.61</v>
      </c>
      <c r="U10">
        <v>10.27</v>
      </c>
      <c r="V10">
        <v>9.85</v>
      </c>
      <c r="W10">
        <v>11.85</v>
      </c>
      <c r="X10">
        <v>9.5</v>
      </c>
      <c r="Y10">
        <v>11.7</v>
      </c>
      <c r="Z10">
        <v>11.03</v>
      </c>
      <c r="AA10">
        <v>11.81</v>
      </c>
      <c r="AB10">
        <v>10.06</v>
      </c>
      <c r="AC10">
        <v>10.88</v>
      </c>
      <c r="AD10">
        <v>10.4</v>
      </c>
      <c r="AE10">
        <v>11.07</v>
      </c>
      <c r="AF10">
        <v>11.34</v>
      </c>
      <c r="AG10">
        <v>9.75</v>
      </c>
      <c r="AH10">
        <v>10.32</v>
      </c>
      <c r="AI10">
        <v>12.03</v>
      </c>
      <c r="AJ10">
        <v>10.46</v>
      </c>
      <c r="AK10">
        <v>8.48</v>
      </c>
      <c r="AL10">
        <v>10.62</v>
      </c>
      <c r="AM10">
        <v>12.16</v>
      </c>
    </row>
    <row r="11" spans="2:39" ht="12.75">
      <c r="B11" s="72"/>
      <c r="C11" s="95" t="s">
        <v>11</v>
      </c>
      <c r="D11" s="87">
        <f>COUNT(Q11:EC11)</f>
        <v>23</v>
      </c>
      <c r="E11" s="115">
        <f>AVERAGE(Q11:EC11)</f>
        <v>125.18260869565216</v>
      </c>
      <c r="F11" s="115">
        <f t="shared" si="0"/>
        <v>3.9799074883187053</v>
      </c>
      <c r="G11" s="115">
        <f>STDEV(Q11:EC11)</f>
        <v>9.738426799116079</v>
      </c>
      <c r="H11" s="115">
        <f>QUARTILE(Q11:EC11,2)</f>
        <v>126</v>
      </c>
      <c r="I11" s="115">
        <f>MIN(Q11:EC11)</f>
        <v>107.5</v>
      </c>
      <c r="J11" s="115">
        <f>MAX(Q11:EC11)</f>
        <v>145</v>
      </c>
      <c r="K11" s="115">
        <f>PERCENTILE(Q11:EC11,0.95)</f>
        <v>136.95</v>
      </c>
      <c r="L11" s="105"/>
      <c r="N11" s="116" t="s">
        <v>93</v>
      </c>
      <c r="O11" s="108"/>
      <c r="P11" t="s">
        <v>93</v>
      </c>
      <c r="Q11">
        <v>130.4</v>
      </c>
      <c r="R11">
        <v>132.4</v>
      </c>
      <c r="S11">
        <v>136.5</v>
      </c>
      <c r="T11">
        <v>117.4</v>
      </c>
      <c r="U11">
        <v>107.5</v>
      </c>
      <c r="V11">
        <v>130</v>
      </c>
      <c r="W11">
        <v>125</v>
      </c>
      <c r="X11">
        <v>130</v>
      </c>
      <c r="Y11">
        <v>132</v>
      </c>
      <c r="Z11">
        <v>132</v>
      </c>
      <c r="AA11">
        <v>119</v>
      </c>
      <c r="AB11">
        <v>122</v>
      </c>
      <c r="AC11">
        <v>118</v>
      </c>
      <c r="AD11">
        <v>113</v>
      </c>
      <c r="AE11">
        <v>109</v>
      </c>
      <c r="AF11">
        <v>122</v>
      </c>
      <c r="AG11">
        <v>128</v>
      </c>
      <c r="AH11">
        <v>136</v>
      </c>
      <c r="AI11">
        <v>115</v>
      </c>
      <c r="AJ11">
        <v>137</v>
      </c>
      <c r="AK11">
        <v>145</v>
      </c>
      <c r="AL11">
        <v>116</v>
      </c>
      <c r="AM11">
        <v>126</v>
      </c>
    </row>
    <row r="12" spans="2:39" ht="12.75">
      <c r="B12" s="68" t="s">
        <v>105</v>
      </c>
      <c r="C12" s="4" t="s">
        <v>12</v>
      </c>
      <c r="D12" s="81">
        <f>COUNT(Q12:EC12)</f>
        <v>23</v>
      </c>
      <c r="E12" s="82">
        <f>AVERAGE(Q12:EC12)</f>
        <v>3.1126086956521735</v>
      </c>
      <c r="F12" s="82">
        <f t="shared" si="0"/>
        <v>2.594063264366711</v>
      </c>
      <c r="G12" s="82">
        <f>STDEV(Q12:EC12)</f>
        <v>6.347407643634244</v>
      </c>
      <c r="H12" s="82">
        <f>QUARTILE(Q12:EC12,2)</f>
        <v>1.87</v>
      </c>
      <c r="I12" s="82">
        <f>MIN(Q12:EC12)</f>
        <v>0.76</v>
      </c>
      <c r="J12" s="82">
        <f>MAX(Q12:EC12)</f>
        <v>32</v>
      </c>
      <c r="K12" s="82">
        <f>PERCENTILE(Q12:EC12,0.95)</f>
        <v>3.999999999999998</v>
      </c>
      <c r="L12" s="102" t="str">
        <f>IF(H12&lt;1,"A",IF(H12&lt;2,"B",IF(H12&lt;3,"C",IF(H12&lt;5,"D","E"))))</f>
        <v>B</v>
      </c>
      <c r="N12" s="116" t="s">
        <v>94</v>
      </c>
      <c r="O12" s="108"/>
      <c r="P12" t="s">
        <v>94</v>
      </c>
      <c r="Q12">
        <v>2.56</v>
      </c>
      <c r="R12">
        <v>2.23</v>
      </c>
      <c r="S12">
        <v>1.24</v>
      </c>
      <c r="T12">
        <v>1.37</v>
      </c>
      <c r="U12">
        <v>2.02</v>
      </c>
      <c r="V12">
        <v>32</v>
      </c>
      <c r="W12">
        <v>4.16</v>
      </c>
      <c r="X12">
        <v>2.52</v>
      </c>
      <c r="Y12">
        <v>0.92</v>
      </c>
      <c r="Z12">
        <v>0.76</v>
      </c>
      <c r="AA12">
        <v>2.54</v>
      </c>
      <c r="AB12">
        <v>1.08</v>
      </c>
      <c r="AC12">
        <v>0.8</v>
      </c>
      <c r="AD12">
        <v>1.93</v>
      </c>
      <c r="AE12">
        <v>2.26</v>
      </c>
      <c r="AF12">
        <v>1.05</v>
      </c>
      <c r="AG12">
        <v>0.81</v>
      </c>
      <c r="AH12">
        <v>1.87</v>
      </c>
      <c r="AI12">
        <v>1.57</v>
      </c>
      <c r="AJ12">
        <v>1.61</v>
      </c>
      <c r="AK12">
        <v>2.31</v>
      </c>
      <c r="AL12">
        <v>1.52</v>
      </c>
      <c r="AM12">
        <v>2.46</v>
      </c>
    </row>
    <row r="13" spans="2:39" ht="12.75">
      <c r="B13" s="71"/>
      <c r="C13" s="6" t="s">
        <v>13</v>
      </c>
      <c r="D13" s="81">
        <f>COUNT(Q13:EC13)</f>
        <v>21</v>
      </c>
      <c r="E13" s="44">
        <f>AVERAGE(Q13:EC13)</f>
        <v>2.6723809523809523</v>
      </c>
      <c r="F13" s="44">
        <f t="shared" si="0"/>
        <v>0.4386720098679539</v>
      </c>
      <c r="G13" s="44">
        <f>STDEV(Q13:EC13)</f>
        <v>1.0256554234337423</v>
      </c>
      <c r="H13" s="44">
        <f>QUARTILE(Q13:EC13,2)</f>
        <v>2.5</v>
      </c>
      <c r="I13" s="44">
        <f>MIN(Q13:EC13)</f>
        <v>0.47</v>
      </c>
      <c r="J13" s="44">
        <f>MAX(Q13:EC13)</f>
        <v>5</v>
      </c>
      <c r="K13" s="44">
        <f>PERCENTILE(Q13:EC13,0.95)</f>
        <v>4.3</v>
      </c>
      <c r="L13" s="102" t="str">
        <f>IF(H13&gt;6,"A",IF(H13&gt;4,"B",IF(H13&gt;2.5,"C",IF(H13&gt;0.6,"D","E"))))</f>
        <v>D</v>
      </c>
      <c r="N13" s="116" t="s">
        <v>13</v>
      </c>
      <c r="O13" s="108"/>
      <c r="P13" t="s">
        <v>13</v>
      </c>
      <c r="Q13">
        <v>3.35</v>
      </c>
      <c r="R13">
        <v>3.1</v>
      </c>
      <c r="U13">
        <v>3</v>
      </c>
      <c r="V13">
        <v>0.47</v>
      </c>
      <c r="W13">
        <v>1.6</v>
      </c>
      <c r="X13">
        <v>1.9</v>
      </c>
      <c r="Y13">
        <v>3.6</v>
      </c>
      <c r="Z13">
        <v>5</v>
      </c>
      <c r="AA13">
        <v>2.2</v>
      </c>
      <c r="AB13">
        <v>2.4</v>
      </c>
      <c r="AC13">
        <v>4.3</v>
      </c>
      <c r="AD13">
        <v>2.1</v>
      </c>
      <c r="AE13">
        <v>2.5</v>
      </c>
      <c r="AF13">
        <v>2.5</v>
      </c>
      <c r="AG13">
        <v>3.2</v>
      </c>
      <c r="AH13">
        <v>3.9</v>
      </c>
      <c r="AI13">
        <v>1.7</v>
      </c>
      <c r="AJ13">
        <v>1.8</v>
      </c>
      <c r="AK13">
        <v>3</v>
      </c>
      <c r="AL13">
        <v>2</v>
      </c>
      <c r="AM13">
        <v>2.5</v>
      </c>
    </row>
    <row r="14" spans="2:39" ht="12.75">
      <c r="B14" s="72"/>
      <c r="C14" s="95" t="s">
        <v>14</v>
      </c>
      <c r="D14" s="87">
        <f>COUNT(Q14:EC14)</f>
        <v>23</v>
      </c>
      <c r="E14" s="115">
        <f>AVERAGE(Q14:EC14)</f>
        <v>2.460869565217391</v>
      </c>
      <c r="F14" s="115">
        <f t="shared" si="0"/>
        <v>1.2290565115537317</v>
      </c>
      <c r="G14" s="115">
        <f>STDEV(Q14:EC14)</f>
        <v>3.0073756500303146</v>
      </c>
      <c r="H14" s="115">
        <f>QUARTILE(Q14:EC14,2)</f>
        <v>2</v>
      </c>
      <c r="I14" s="115">
        <f>MIN(Q14:EC14)</f>
        <v>0.8</v>
      </c>
      <c r="J14" s="115">
        <f>MAX(Q14:EC14)</f>
        <v>15</v>
      </c>
      <c r="K14" s="115">
        <f>PERCENTILE(Q14:EC14,0.95)</f>
        <v>5</v>
      </c>
      <c r="L14" s="102"/>
      <c r="N14" s="116" t="s">
        <v>95</v>
      </c>
      <c r="O14" s="108"/>
      <c r="P14" t="s">
        <v>95</v>
      </c>
      <c r="Q14">
        <v>2</v>
      </c>
      <c r="R14">
        <v>5</v>
      </c>
      <c r="S14">
        <v>2</v>
      </c>
      <c r="T14">
        <v>2</v>
      </c>
      <c r="U14">
        <v>1</v>
      </c>
      <c r="V14">
        <v>15</v>
      </c>
      <c r="W14">
        <v>4</v>
      </c>
      <c r="X14">
        <v>2</v>
      </c>
      <c r="Y14">
        <v>0.9</v>
      </c>
      <c r="Z14">
        <v>0.8</v>
      </c>
      <c r="AA14">
        <v>2</v>
      </c>
      <c r="AB14">
        <v>1</v>
      </c>
      <c r="AC14">
        <v>1</v>
      </c>
      <c r="AD14">
        <v>1</v>
      </c>
      <c r="AE14">
        <v>2</v>
      </c>
      <c r="AF14">
        <v>1</v>
      </c>
      <c r="AG14">
        <v>1</v>
      </c>
      <c r="AH14">
        <v>1</v>
      </c>
      <c r="AI14">
        <v>3</v>
      </c>
      <c r="AJ14">
        <v>2</v>
      </c>
      <c r="AK14">
        <v>5</v>
      </c>
      <c r="AL14">
        <v>0.9</v>
      </c>
      <c r="AM14">
        <v>1</v>
      </c>
    </row>
    <row r="15" spans="2:39" ht="12.75">
      <c r="B15" s="208" t="s">
        <v>267</v>
      </c>
      <c r="C15" s="8" t="s">
        <v>268</v>
      </c>
      <c r="D15" s="81">
        <f>COUNT(Q15:EC15)</f>
        <v>23</v>
      </c>
      <c r="E15" s="40">
        <f>AVERAGE(Q15:EC15)</f>
        <v>1167.0434782608695</v>
      </c>
      <c r="F15" s="40">
        <f t="shared" si="0"/>
        <v>1054.093982701244</v>
      </c>
      <c r="G15" s="40">
        <f>STDEV(Q15:EC15)</f>
        <v>2579.260226538907</v>
      </c>
      <c r="H15" s="40">
        <f>QUARTILE(Q15:EC15,2)</f>
        <v>275</v>
      </c>
      <c r="I15" s="40">
        <f>MIN(Q15:EC15)</f>
        <v>45</v>
      </c>
      <c r="J15" s="40">
        <f>MAX(Q15:EC15)</f>
        <v>12000</v>
      </c>
      <c r="K15" s="40">
        <f>PERCENTILE(Q15:EC15,0.95)</f>
        <v>4179.999999999998</v>
      </c>
      <c r="L15" s="106" t="str">
        <f>IF(H15&lt;10,"A",IF(H15&lt;130,"B",IF(H15&lt;260,"C",IF(H15&lt;550,"D","E"))))</f>
        <v>D</v>
      </c>
      <c r="N15" s="116" t="s">
        <v>255</v>
      </c>
      <c r="O15" s="108"/>
      <c r="P15" t="s">
        <v>255</v>
      </c>
      <c r="Q15">
        <v>250</v>
      </c>
      <c r="R15">
        <v>3100</v>
      </c>
      <c r="S15">
        <v>400</v>
      </c>
      <c r="T15">
        <v>440</v>
      </c>
      <c r="U15">
        <v>180</v>
      </c>
      <c r="V15">
        <v>12000</v>
      </c>
      <c r="W15">
        <v>50</v>
      </c>
      <c r="X15">
        <v>820</v>
      </c>
      <c r="Y15">
        <v>220</v>
      </c>
      <c r="Z15">
        <v>355</v>
      </c>
      <c r="AA15">
        <v>1200</v>
      </c>
      <c r="AB15">
        <v>200</v>
      </c>
      <c r="AC15">
        <v>230</v>
      </c>
      <c r="AD15">
        <v>167</v>
      </c>
      <c r="AE15">
        <v>45</v>
      </c>
      <c r="AF15">
        <v>275</v>
      </c>
      <c r="AG15">
        <v>330</v>
      </c>
      <c r="AH15">
        <v>1500</v>
      </c>
      <c r="AI15">
        <v>45</v>
      </c>
      <c r="AJ15">
        <v>4300</v>
      </c>
      <c r="AK15">
        <v>500</v>
      </c>
      <c r="AL15">
        <v>180</v>
      </c>
      <c r="AM15">
        <v>55</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112.8055</v>
      </c>
      <c r="F17" s="44">
        <f>CONFIDENCE(0.05,G17,D17)</f>
        <v>3.604574083679857</v>
      </c>
      <c r="G17" s="44">
        <f>STDEV(Q17:EC17)</f>
        <v>4.504861984567475</v>
      </c>
      <c r="H17" s="44">
        <f>QUARTILE(Q17:EC17,2)</f>
        <v>110.9165</v>
      </c>
      <c r="I17" s="44">
        <f>MIN(Q17:EC17)</f>
        <v>109</v>
      </c>
      <c r="J17" s="44">
        <f>MAX(Q17:EC17)</f>
        <v>119</v>
      </c>
      <c r="K17" s="44">
        <f>PERCENTILE(Q17:EC17,0.95)</f>
        <v>118.75</v>
      </c>
      <c r="L17" s="102" t="str">
        <f>IF(H17&gt;120,"A",IF(H17&gt;100,"B",IF(H17&gt;80,"C",IF(H17&gt;60,"D","E"))))</f>
        <v>B</v>
      </c>
      <c r="N17" s="116" t="s">
        <v>17</v>
      </c>
      <c r="O17" s="108"/>
      <c r="P17" t="s">
        <v>17</v>
      </c>
      <c r="Q17">
        <v>119</v>
      </c>
      <c r="U17">
        <v>109</v>
      </c>
      <c r="X17">
        <v>118</v>
      </c>
      <c r="AB17">
        <v>109</v>
      </c>
      <c r="AF17">
        <v>111</v>
      </c>
      <c r="AJ17">
        <v>110.833</v>
      </c>
    </row>
    <row r="18" spans="2:36" ht="12.75">
      <c r="B18" s="74"/>
      <c r="C18" s="96" t="s">
        <v>18</v>
      </c>
      <c r="D18" s="81">
        <f>COUNT(Q18:EC18)</f>
        <v>6</v>
      </c>
      <c r="E18" s="44">
        <f>AVERAGE(Q18:EC18)</f>
        <v>6.014166666666667</v>
      </c>
      <c r="F18" s="44">
        <f>CONFIDENCE(0.05,G18,D18)</f>
        <v>0.5803745186868005</v>
      </c>
      <c r="G18" s="44">
        <f>STDEV(Q18:EC18)</f>
        <v>0.725330384491557</v>
      </c>
      <c r="H18" s="44">
        <f>QUARTILE(Q18:EC18,2)</f>
        <v>6.0025</v>
      </c>
      <c r="I18" s="44">
        <f>MIN(Q18:EC18)</f>
        <v>5.09</v>
      </c>
      <c r="J18" s="44">
        <f>MAX(Q18:EC18)</f>
        <v>7.21</v>
      </c>
      <c r="K18" s="44">
        <f>PERCENTILE(Q18:EC18,0.95)</f>
        <v>6.9675</v>
      </c>
      <c r="L18" s="105" t="str">
        <f>IF(H18&gt;6,"A",IF(H18&gt;5,"B",IF(H18&gt;4,"C",IF(H18&gt;3,"D","E"))))</f>
        <v>A</v>
      </c>
      <c r="N18" s="116" t="s">
        <v>18</v>
      </c>
      <c r="O18" s="108"/>
      <c r="P18" t="s">
        <v>18</v>
      </c>
      <c r="Q18">
        <v>6.24</v>
      </c>
      <c r="U18">
        <v>6.19</v>
      </c>
      <c r="X18">
        <v>7.21</v>
      </c>
      <c r="AB18">
        <v>5.09</v>
      </c>
      <c r="AF18">
        <v>5.54</v>
      </c>
      <c r="AJ18">
        <v>5.815</v>
      </c>
    </row>
    <row r="19" spans="2:36" ht="12.75">
      <c r="B19" s="71" t="s">
        <v>106</v>
      </c>
      <c r="C19" s="7" t="s">
        <v>19</v>
      </c>
      <c r="D19" s="86">
        <f>COUNT(Q19:EC19)</f>
        <v>7</v>
      </c>
      <c r="E19" s="113">
        <f>AVERAGE(Q19:EC19)</f>
        <v>9.167</v>
      </c>
      <c r="F19" s="113">
        <f>CONFIDENCE(0.05,G19,D19)</f>
        <v>0.2776881352659048</v>
      </c>
      <c r="G19" s="113">
        <f>STDEV(Q19:EC19)</f>
        <v>0.3748506369208922</v>
      </c>
      <c r="H19" s="113">
        <f>QUARTILE(Q19:EC19,2)</f>
        <v>9.25</v>
      </c>
      <c r="I19" s="113">
        <f>MIN(Q19:EC19)</f>
        <v>8.6</v>
      </c>
      <c r="J19" s="113">
        <f>MAX(Q19:EC19)</f>
        <v>9.61</v>
      </c>
      <c r="K19" s="113">
        <f>PERCENTILE(Q19:EC19,0.95)</f>
        <v>9.546999999999999</v>
      </c>
      <c r="L19" s="102" t="str">
        <f>IF(H19&gt;8,"A",IF(H19&gt;6,"B",IF(H19&gt;4,"C",IF(H19&gt;2,"D","E"))))</f>
        <v>A</v>
      </c>
      <c r="N19" s="116" t="s">
        <v>96</v>
      </c>
      <c r="O19" s="108"/>
      <c r="P19" t="s">
        <v>96</v>
      </c>
      <c r="R19">
        <v>9.25</v>
      </c>
      <c r="S19">
        <v>8.71</v>
      </c>
      <c r="T19">
        <v>9.61</v>
      </c>
      <c r="X19">
        <v>9.4</v>
      </c>
      <c r="AB19">
        <v>9.4</v>
      </c>
      <c r="AF19">
        <v>8.6</v>
      </c>
      <c r="AJ19">
        <v>9.199</v>
      </c>
    </row>
    <row r="20" spans="2:36" ht="13.5" thickBot="1">
      <c r="B20" s="72"/>
      <c r="C20" s="97" t="s">
        <v>122</v>
      </c>
      <c r="D20" s="87">
        <f>COUNT(Q20:EC20)</f>
        <v>4</v>
      </c>
      <c r="E20" s="114">
        <f>AVERAGE(Q20:EC20)</f>
        <v>5.2</v>
      </c>
      <c r="F20" s="114">
        <f>CONFIDENCE(0.05,G20,D20)</f>
        <v>7.115955992564624</v>
      </c>
      <c r="G20" s="114">
        <f>STDEV(Q20:EC20)</f>
        <v>7.2613130125802074</v>
      </c>
      <c r="H20" s="114">
        <f>QUARTILE(Q20:EC20,2)</f>
        <v>2.25</v>
      </c>
      <c r="I20" s="114">
        <f>MIN(Q20:EC20)</f>
        <v>0.3</v>
      </c>
      <c r="J20" s="114">
        <f>MAX(Q20:EC20)</f>
        <v>16</v>
      </c>
      <c r="K20" s="114">
        <f>PERCENTILE(Q20:EC20,0.95)</f>
        <v>13.974999999999994</v>
      </c>
      <c r="L20" s="105"/>
      <c r="N20" s="116" t="s">
        <v>97</v>
      </c>
      <c r="O20" s="108"/>
      <c r="P20" t="s">
        <v>97</v>
      </c>
      <c r="X20">
        <v>0.3</v>
      </c>
      <c r="AB20">
        <v>2.5</v>
      </c>
      <c r="AF20">
        <v>16</v>
      </c>
      <c r="AJ20">
        <v>2</v>
      </c>
    </row>
    <row r="21" spans="2:15" ht="12.75">
      <c r="B21" s="80"/>
      <c r="C21" s="89"/>
      <c r="D21" s="89"/>
      <c r="E21" s="89"/>
      <c r="F21" s="89"/>
      <c r="G21" s="89"/>
      <c r="H21" s="89"/>
      <c r="I21" s="89"/>
      <c r="J21" s="89"/>
      <c r="K21" s="89"/>
      <c r="L21" s="100"/>
      <c r="O21" s="108"/>
    </row>
    <row r="22" spans="2:15" ht="12.75">
      <c r="B22" s="210" t="s">
        <v>119</v>
      </c>
      <c r="C22" s="211"/>
      <c r="D22" s="211"/>
      <c r="E22" s="211"/>
      <c r="F22" s="211"/>
      <c r="G22" s="76" t="str">
        <f>'Combined Score Calcs'!Y10</f>
        <v>C</v>
      </c>
      <c r="H22" s="39"/>
      <c r="I22" s="39"/>
      <c r="J22" s="39"/>
      <c r="K22" s="99"/>
      <c r="L22" s="90"/>
      <c r="N22" s="111"/>
      <c r="O22" s="108"/>
    </row>
    <row r="23" spans="2:17" ht="13.5" thickBot="1">
      <c r="B23" s="83"/>
      <c r="C23" s="84"/>
      <c r="D23" s="84"/>
      <c r="E23" s="84"/>
      <c r="F23" s="84"/>
      <c r="G23" s="84"/>
      <c r="H23" s="84"/>
      <c r="I23" s="84"/>
      <c r="J23" s="84"/>
      <c r="K23" s="84"/>
      <c r="L23" s="91"/>
      <c r="N23" s="111"/>
      <c r="O23" s="108"/>
      <c r="Q23" s="20"/>
    </row>
    <row r="24" spans="12:17" ht="12.75">
      <c r="L24" s="60"/>
      <c r="N24" s="111"/>
      <c r="O24" s="108"/>
      <c r="Q24" s="20"/>
    </row>
    <row r="25" spans="12:15" ht="12.75">
      <c r="L25" s="60"/>
      <c r="O25" s="108"/>
    </row>
    <row r="26" spans="12:15" ht="12.75">
      <c r="L26" s="60"/>
      <c r="O26" s="108"/>
    </row>
    <row r="27" spans="12:15" ht="12.75">
      <c r="L27" s="60"/>
      <c r="O27" s="108"/>
    </row>
    <row r="28" spans="7:15" ht="12.75">
      <c r="G28" t="s">
        <v>140</v>
      </c>
      <c r="H28" t="s">
        <v>141</v>
      </c>
      <c r="L28" s="60"/>
      <c r="O28" s="108"/>
    </row>
    <row r="29" spans="5:15" ht="12.75">
      <c r="E29" s="158"/>
      <c r="F29" s="153"/>
      <c r="G29" s="118" t="s">
        <v>21</v>
      </c>
      <c r="H29" s="136">
        <v>1.5</v>
      </c>
      <c r="I29" s="137">
        <v>10</v>
      </c>
      <c r="J29" s="119"/>
      <c r="K29" s="119"/>
      <c r="L29" s="60"/>
      <c r="O29" s="108"/>
    </row>
    <row r="30" spans="5:12" ht="12.75">
      <c r="E30" s="158"/>
      <c r="F30" s="153"/>
      <c r="G30" s="122" t="s">
        <v>22</v>
      </c>
      <c r="H30" s="137">
        <v>65</v>
      </c>
      <c r="I30" s="137">
        <v>270</v>
      </c>
      <c r="J30" s="119"/>
      <c r="K30" s="119"/>
      <c r="L30" s="60"/>
    </row>
    <row r="31" spans="5:12" ht="12.75">
      <c r="E31" s="158"/>
      <c r="F31" s="153"/>
      <c r="G31" s="122" t="s">
        <v>23</v>
      </c>
      <c r="H31" s="137">
        <v>50</v>
      </c>
      <c r="I31" s="137">
        <v>220</v>
      </c>
      <c r="J31" s="119"/>
      <c r="K31" s="119"/>
      <c r="L31" s="60"/>
    </row>
    <row r="32" spans="5:12" ht="12.75">
      <c r="E32" s="158"/>
      <c r="F32" s="153"/>
      <c r="G32" s="122" t="s">
        <v>24</v>
      </c>
      <c r="H32" s="137">
        <v>200</v>
      </c>
      <c r="I32" s="137">
        <v>210</v>
      </c>
      <c r="J32" s="119"/>
      <c r="K32" s="119"/>
      <c r="L32" s="60"/>
    </row>
    <row r="33" spans="7:12" ht="12.75">
      <c r="G33" s="122"/>
      <c r="H33" t="s">
        <v>137</v>
      </c>
      <c r="I33" t="s">
        <v>138</v>
      </c>
      <c r="L33" s="60"/>
    </row>
    <row r="34" ht="12.75">
      <c r="L34" s="60"/>
    </row>
    <row r="35" ht="12.75">
      <c r="L35" s="60"/>
    </row>
    <row r="36" spans="5:12" ht="12.75">
      <c r="E36" s="158"/>
      <c r="F36" s="153"/>
      <c r="G36" s="119"/>
      <c r="H36" s="119"/>
      <c r="I36" s="119"/>
      <c r="J36" s="119"/>
      <c r="K36" s="119"/>
      <c r="L36" s="60"/>
    </row>
    <row r="37" spans="5:12" ht="12.75">
      <c r="E37" s="158"/>
      <c r="F37" s="153"/>
      <c r="G37" s="119"/>
      <c r="H37" s="119"/>
      <c r="I37" s="119"/>
      <c r="J37" s="119"/>
      <c r="K37" s="119"/>
      <c r="L37" s="60"/>
    </row>
    <row r="38" spans="5:12" ht="12.75">
      <c r="E38" s="158"/>
      <c r="F38" s="153"/>
      <c r="G38" s="119"/>
      <c r="H38" s="119"/>
      <c r="I38" s="119"/>
      <c r="J38" s="119"/>
      <c r="K38" s="119"/>
      <c r="L38" s="60"/>
    </row>
    <row r="39" spans="5:12" ht="12.75">
      <c r="E39" s="158"/>
      <c r="F39" s="153"/>
      <c r="G39" s="119"/>
      <c r="H39" s="119"/>
      <c r="I39" s="119"/>
      <c r="J39" s="119"/>
      <c r="K39" s="119"/>
      <c r="L39" s="60"/>
    </row>
    <row r="40" spans="5:12" ht="12.75">
      <c r="E40" s="158"/>
      <c r="F40" s="153"/>
      <c r="G40" s="119"/>
      <c r="H40" s="119"/>
      <c r="I40" s="119"/>
      <c r="J40" s="119"/>
      <c r="K40" s="119"/>
      <c r="L40" s="60"/>
    </row>
    <row r="41" spans="5:12" ht="12.75">
      <c r="E41" s="158"/>
      <c r="F41" s="153"/>
      <c r="G41" s="119"/>
      <c r="H41" s="119"/>
      <c r="I41" s="119"/>
      <c r="J41" s="119"/>
      <c r="K41" s="119"/>
      <c r="L41" s="60"/>
    </row>
    <row r="42" ht="12.75">
      <c r="L42" s="60"/>
    </row>
  </sheetData>
  <mergeCells count="1">
    <mergeCell ref="B22:F22"/>
  </mergeCells>
  <printOptions/>
  <pageMargins left="0.75" right="0.75" top="1" bottom="1" header="0.5" footer="0.5"/>
  <pageSetup horizontalDpi="600" verticalDpi="600" orientation="portrait" paperSize="133" r:id="rId1"/>
</worksheet>
</file>

<file path=xl/worksheets/sheet9.xml><?xml version="1.0" encoding="utf-8"?>
<worksheet xmlns="http://schemas.openxmlformats.org/spreadsheetml/2006/main" xmlns:r="http://schemas.openxmlformats.org/officeDocument/2006/relationships">
  <dimension ref="B1:AQ42"/>
  <sheetViews>
    <sheetView workbookViewId="0" topLeftCell="A1">
      <selection activeCell="B3" sqref="B3:L23"/>
    </sheetView>
  </sheetViews>
  <sheetFormatPr defaultColWidth="9.140625" defaultRowHeight="12.75"/>
  <cols>
    <col min="3" max="3" width="28.7109375" style="0" bestFit="1" customWidth="1"/>
    <col min="14" max="14" width="34.140625" style="0" customWidth="1"/>
    <col min="16" max="16" width="33.57421875" style="0" customWidth="1"/>
    <col min="17" max="24" width="15.421875" style="0" bestFit="1" customWidth="1"/>
  </cols>
  <sheetData>
    <row r="1" spans="2:15" ht="15.75">
      <c r="B1" s="107" t="s">
        <v>157</v>
      </c>
      <c r="O1" s="109" t="s">
        <v>125</v>
      </c>
    </row>
    <row r="2" spans="12:39" ht="13.5" thickBot="1">
      <c r="L2" s="60"/>
      <c r="N2" s="116" t="s">
        <v>84</v>
      </c>
      <c r="O2" s="110"/>
      <c r="P2" t="s">
        <v>84</v>
      </c>
      <c r="Q2" t="s">
        <v>62</v>
      </c>
      <c r="R2" t="s">
        <v>62</v>
      </c>
      <c r="S2" t="s">
        <v>62</v>
      </c>
      <c r="T2" t="s">
        <v>62</v>
      </c>
      <c r="U2" t="s">
        <v>62</v>
      </c>
      <c r="V2" t="s">
        <v>62</v>
      </c>
      <c r="W2" t="s">
        <v>62</v>
      </c>
      <c r="X2" t="s">
        <v>62</v>
      </c>
      <c r="Y2" t="s">
        <v>62</v>
      </c>
      <c r="Z2" t="s">
        <v>62</v>
      </c>
      <c r="AA2" t="s">
        <v>62</v>
      </c>
      <c r="AB2" t="s">
        <v>62</v>
      </c>
      <c r="AC2" t="s">
        <v>62</v>
      </c>
      <c r="AD2" t="s">
        <v>62</v>
      </c>
      <c r="AE2" t="s">
        <v>62</v>
      </c>
      <c r="AF2" t="s">
        <v>62</v>
      </c>
      <c r="AG2" t="s">
        <v>62</v>
      </c>
      <c r="AH2" t="s">
        <v>62</v>
      </c>
      <c r="AI2" t="s">
        <v>62</v>
      </c>
      <c r="AJ2" t="s">
        <v>62</v>
      </c>
      <c r="AK2" t="s">
        <v>62</v>
      </c>
      <c r="AL2" t="s">
        <v>62</v>
      </c>
      <c r="AM2" t="s">
        <v>62</v>
      </c>
    </row>
    <row r="3" spans="2:43" ht="26.25" thickBot="1">
      <c r="B3" s="65"/>
      <c r="C3" s="92" t="s">
        <v>109</v>
      </c>
      <c r="D3" s="85" t="s">
        <v>108</v>
      </c>
      <c r="E3" s="66" t="s">
        <v>101</v>
      </c>
      <c r="F3" s="67" t="s">
        <v>102</v>
      </c>
      <c r="G3" s="67" t="s">
        <v>110</v>
      </c>
      <c r="H3" s="66" t="s">
        <v>100</v>
      </c>
      <c r="I3" s="66" t="s">
        <v>98</v>
      </c>
      <c r="J3" s="66" t="s">
        <v>99</v>
      </c>
      <c r="K3" s="66" t="s">
        <v>113</v>
      </c>
      <c r="L3" s="101" t="s">
        <v>120</v>
      </c>
      <c r="N3" s="116" t="s">
        <v>85</v>
      </c>
      <c r="O3" s="108"/>
      <c r="P3" t="s">
        <v>85</v>
      </c>
      <c r="Q3" s="64">
        <v>36832.65972222222</v>
      </c>
      <c r="R3" s="64">
        <v>36921.59722222222</v>
      </c>
      <c r="S3" s="64">
        <v>37012.59375</v>
      </c>
      <c r="T3" s="64">
        <v>37109.60763888889</v>
      </c>
      <c r="U3" s="64">
        <v>37223.506944444445</v>
      </c>
      <c r="V3" s="64">
        <v>37384.57638888889</v>
      </c>
      <c r="W3" s="64">
        <v>37474.65277777778</v>
      </c>
      <c r="X3" s="64">
        <v>37587.62847222222</v>
      </c>
      <c r="Y3" s="64">
        <v>37649.54861111111</v>
      </c>
      <c r="Z3" s="64">
        <v>37747.520833333336</v>
      </c>
      <c r="AA3" s="64">
        <v>37838.493055555555</v>
      </c>
      <c r="AB3" s="64">
        <v>37951.59722222222</v>
      </c>
      <c r="AC3" s="64">
        <v>38028.506944444445</v>
      </c>
      <c r="AD3" s="64">
        <v>38112.46875</v>
      </c>
      <c r="AE3" s="64">
        <v>38202.669444444444</v>
      </c>
      <c r="AF3" s="64">
        <v>38336.52777777778</v>
      </c>
      <c r="AG3" s="64">
        <v>38393.67013888889</v>
      </c>
      <c r="AH3" s="64">
        <v>38477.68402777778</v>
      </c>
      <c r="AI3" s="64">
        <v>38593.67638888889</v>
      </c>
      <c r="AJ3" s="64">
        <v>38680.569444444445</v>
      </c>
      <c r="AK3" s="64">
        <v>38776.669444444444</v>
      </c>
      <c r="AL3" s="64">
        <v>38869.645833333336</v>
      </c>
      <c r="AM3" s="64">
        <v>38960.67361111111</v>
      </c>
      <c r="AO3" s="64"/>
      <c r="AP3" s="64"/>
      <c r="AQ3" s="64"/>
    </row>
    <row r="4" spans="2:39" ht="12.75">
      <c r="B4" s="68" t="s">
        <v>103</v>
      </c>
      <c r="C4" s="93" t="s">
        <v>4</v>
      </c>
      <c r="D4" s="81">
        <f>COUNT(Q4:EC4)</f>
        <v>20</v>
      </c>
      <c r="E4" s="82">
        <f>AVERAGE(Q4:EC4)</f>
        <v>0.044950000000000004</v>
      </c>
      <c r="F4" s="82">
        <f aca="true" t="shared" si="0" ref="F4:F15">CONFIDENCE(0.05,G4,D4)</f>
        <v>0.021723316792397196</v>
      </c>
      <c r="G4" s="82">
        <f>STDEV(Q4:EC4)</f>
        <v>0.04956704656587034</v>
      </c>
      <c r="H4" s="82">
        <f>QUARTILE(Q4:EC4,2)</f>
        <v>0.0205</v>
      </c>
      <c r="I4" s="82">
        <f>MIN(Q4:EC4)</f>
        <v>0.002</v>
      </c>
      <c r="J4" s="82">
        <f>MAX(Q4:EC4)</f>
        <v>0.16</v>
      </c>
      <c r="K4" s="82">
        <f>PERCENTILE(Q4:EC4,0.95)</f>
        <v>0.14100000000000001</v>
      </c>
      <c r="L4" s="102" t="str">
        <f>IF((H4+H5)&lt;0.08,"A",IF((H4+H5)&lt;0.12,"B",IF((H4+H5)&lt;0.295,"C",IF((H4+H5)&lt;0.444,"D","E"))))</f>
        <v>A</v>
      </c>
      <c r="N4" s="116" t="s">
        <v>86</v>
      </c>
      <c r="O4" s="108"/>
      <c r="P4" t="s">
        <v>86</v>
      </c>
      <c r="R4">
        <v>0.14</v>
      </c>
      <c r="S4">
        <v>0.02</v>
      </c>
      <c r="V4">
        <v>0.021</v>
      </c>
      <c r="W4">
        <v>0.068</v>
      </c>
      <c r="X4">
        <v>0.11</v>
      </c>
      <c r="Y4">
        <v>0.008</v>
      </c>
      <c r="Z4">
        <v>0.024</v>
      </c>
      <c r="AA4">
        <v>0.068</v>
      </c>
      <c r="AB4">
        <v>0.01</v>
      </c>
      <c r="AC4">
        <v>0.005</v>
      </c>
      <c r="AD4">
        <v>0.087</v>
      </c>
      <c r="AE4">
        <v>0.16</v>
      </c>
      <c r="AF4">
        <v>0.004</v>
      </c>
      <c r="AG4">
        <v>0.003</v>
      </c>
      <c r="AH4">
        <v>0.002</v>
      </c>
      <c r="AI4">
        <v>0.078</v>
      </c>
      <c r="AJ4">
        <v>0.003</v>
      </c>
      <c r="AK4">
        <v>0.003</v>
      </c>
      <c r="AL4">
        <v>0.071</v>
      </c>
      <c r="AM4">
        <v>0.014</v>
      </c>
    </row>
    <row r="5" spans="2:39" ht="12.75">
      <c r="B5" s="69"/>
      <c r="C5" s="5" t="s">
        <v>5</v>
      </c>
      <c r="D5" s="73">
        <f>COUNT(Q5:EC5)</f>
        <v>18</v>
      </c>
      <c r="E5" s="112">
        <f>AVERAGE(Q5:EC5)</f>
        <v>0.007611111111111114</v>
      </c>
      <c r="F5" s="112">
        <f t="shared" si="0"/>
        <v>0.0035329805316209155</v>
      </c>
      <c r="G5" s="112">
        <f>STDEV(Q5:EC5)</f>
        <v>0.007647674686110487</v>
      </c>
      <c r="H5" s="112">
        <f>QUARTILE(Q5:EC5,2)</f>
        <v>0.005</v>
      </c>
      <c r="I5" s="112">
        <f>MIN(Q5:EC5)</f>
        <v>0.005</v>
      </c>
      <c r="J5" s="112">
        <f>MAX(Q5:EC5)</f>
        <v>0.037</v>
      </c>
      <c r="K5" s="112">
        <f>PERCENTILE(Q5:EC5,0.95)</f>
        <v>0.016599999999999965</v>
      </c>
      <c r="L5" s="102"/>
      <c r="N5" s="116" t="s">
        <v>87</v>
      </c>
      <c r="O5" s="108"/>
      <c r="P5" t="s">
        <v>87</v>
      </c>
      <c r="V5">
        <v>0.005</v>
      </c>
      <c r="W5">
        <v>0.01</v>
      </c>
      <c r="X5">
        <v>0.037</v>
      </c>
      <c r="Y5">
        <v>0.005</v>
      </c>
      <c r="Z5">
        <v>0.005</v>
      </c>
      <c r="AA5">
        <v>0.005</v>
      </c>
      <c r="AB5">
        <v>0.005</v>
      </c>
      <c r="AC5">
        <v>0.005</v>
      </c>
      <c r="AD5">
        <v>0.005</v>
      </c>
      <c r="AE5">
        <v>0.005</v>
      </c>
      <c r="AF5">
        <v>0.005</v>
      </c>
      <c r="AG5">
        <v>0.005</v>
      </c>
      <c r="AH5">
        <v>0.005</v>
      </c>
      <c r="AI5">
        <v>0.013</v>
      </c>
      <c r="AJ5">
        <v>0.005</v>
      </c>
      <c r="AK5">
        <v>0.007</v>
      </c>
      <c r="AL5">
        <v>0.005</v>
      </c>
      <c r="AM5">
        <v>0.005</v>
      </c>
    </row>
    <row r="6" spans="2:39" ht="12.75">
      <c r="B6" s="70"/>
      <c r="C6" s="94" t="s">
        <v>6</v>
      </c>
      <c r="D6" s="73">
        <f>COUNT(Q6:EC6)</f>
        <v>23</v>
      </c>
      <c r="E6" s="112">
        <f>AVERAGE(Q6:EC6)</f>
        <v>0.005652173913043479</v>
      </c>
      <c r="F6" s="112">
        <f t="shared" si="0"/>
        <v>0.0006590780668988936</v>
      </c>
      <c r="G6" s="112">
        <f>STDEV(Q6:EC6)</f>
        <v>0.0016126966589641064</v>
      </c>
      <c r="H6" s="112">
        <f>QUARTILE(Q6:EC6,2)</f>
        <v>0.005</v>
      </c>
      <c r="I6" s="112">
        <f>MIN(Q6:EC6)</f>
        <v>0.003</v>
      </c>
      <c r="J6" s="112">
        <f>MAX(Q6:EC6)</f>
        <v>0.009</v>
      </c>
      <c r="K6" s="112">
        <f>PERCENTILE(Q6:EC6,0.95)</f>
        <v>0.008899999999999998</v>
      </c>
      <c r="L6" s="102" t="str">
        <f>IF((H6)&lt;0.005,"A",IF((H6)&lt;0.008,"B",IF((H6)&lt;0.026,"C",IF((H6)&lt;0.05,"D","E"))))</f>
        <v>B</v>
      </c>
      <c r="N6" s="116" t="s">
        <v>88</v>
      </c>
      <c r="O6" s="108"/>
      <c r="P6" t="s">
        <v>88</v>
      </c>
      <c r="Q6">
        <v>0.006</v>
      </c>
      <c r="R6">
        <v>0.005</v>
      </c>
      <c r="S6">
        <v>0.005</v>
      </c>
      <c r="T6">
        <v>0.006</v>
      </c>
      <c r="U6">
        <v>0.008</v>
      </c>
      <c r="V6">
        <v>0.005</v>
      </c>
      <c r="W6">
        <v>0.005</v>
      </c>
      <c r="X6">
        <v>0.006</v>
      </c>
      <c r="Y6">
        <v>0.005</v>
      </c>
      <c r="Z6">
        <v>0.005</v>
      </c>
      <c r="AA6">
        <v>0.009</v>
      </c>
      <c r="AB6">
        <v>0.007</v>
      </c>
      <c r="AC6">
        <v>0.005</v>
      </c>
      <c r="AD6">
        <v>0.006</v>
      </c>
      <c r="AE6">
        <v>0.009</v>
      </c>
      <c r="AF6">
        <v>0.004</v>
      </c>
      <c r="AG6">
        <v>0.007</v>
      </c>
      <c r="AH6">
        <v>0.003</v>
      </c>
      <c r="AI6">
        <v>0.005</v>
      </c>
      <c r="AJ6">
        <v>0.005</v>
      </c>
      <c r="AK6">
        <v>0.003</v>
      </c>
      <c r="AL6">
        <v>0.007</v>
      </c>
      <c r="AM6">
        <v>0.004</v>
      </c>
    </row>
    <row r="7" spans="2:39" ht="12.75">
      <c r="B7" s="71" t="s">
        <v>104</v>
      </c>
      <c r="C7" s="6" t="s">
        <v>7</v>
      </c>
      <c r="D7" s="86">
        <f>COUNT(Q7:EC7)</f>
        <v>23</v>
      </c>
      <c r="E7" s="113">
        <f>AVERAGE(Q7:EC7)</f>
        <v>8.362608695652176</v>
      </c>
      <c r="F7" s="113">
        <f t="shared" si="0"/>
        <v>0.14516257835773644</v>
      </c>
      <c r="G7" s="113">
        <f>STDEV(Q7:EC7)</f>
        <v>0.3551979907716299</v>
      </c>
      <c r="H7" s="113">
        <f>QUARTILE(Q7:EC7,2)</f>
        <v>8.4</v>
      </c>
      <c r="I7" s="113">
        <f>MIN(Q7:EC7)</f>
        <v>7.79</v>
      </c>
      <c r="J7" s="113">
        <f>MAX(Q7:EC7)</f>
        <v>9.31</v>
      </c>
      <c r="K7" s="113">
        <f>PERCENTILE(Q7:EC7,0.95)</f>
        <v>8.892999999999999</v>
      </c>
      <c r="L7" s="103" t="str">
        <f>IF(AND(7.2&lt;H7,H7&lt;9),"A",IF(AND(7.2&lt;=H7,H7&lt;=9),"B",IF(AND(6.5&lt;=H7,H7&lt;=9),"C",IF(AND(6.5&lt;=H7,H7&lt;=10),"D","E"))))</f>
        <v>A</v>
      </c>
      <c r="N7" s="116" t="s">
        <v>89</v>
      </c>
      <c r="O7" s="108"/>
      <c r="P7" t="s">
        <v>89</v>
      </c>
      <c r="Q7">
        <v>8.4</v>
      </c>
      <c r="R7">
        <v>8.56</v>
      </c>
      <c r="S7">
        <v>9.31</v>
      </c>
      <c r="T7">
        <v>8.5</v>
      </c>
      <c r="U7">
        <v>7.9</v>
      </c>
      <c r="V7">
        <v>8.92</v>
      </c>
      <c r="W7">
        <v>8.57</v>
      </c>
      <c r="X7">
        <v>8.64</v>
      </c>
      <c r="Y7">
        <v>8.56</v>
      </c>
      <c r="Z7">
        <v>8.48</v>
      </c>
      <c r="AA7">
        <v>8.1</v>
      </c>
      <c r="AB7">
        <v>8.4</v>
      </c>
      <c r="AC7">
        <v>8.33</v>
      </c>
      <c r="AD7">
        <v>7.79</v>
      </c>
      <c r="AE7">
        <v>8.02</v>
      </c>
      <c r="AF7">
        <v>8.38</v>
      </c>
      <c r="AG7">
        <v>8.49</v>
      </c>
      <c r="AH7">
        <v>8</v>
      </c>
      <c r="AI7">
        <v>8.04</v>
      </c>
      <c r="AJ7">
        <v>7.96</v>
      </c>
      <c r="AK7">
        <v>8.04</v>
      </c>
      <c r="AL7">
        <v>8.3</v>
      </c>
      <c r="AM7">
        <v>8.65</v>
      </c>
    </row>
    <row r="8" spans="2:39" ht="12.75">
      <c r="B8" s="71"/>
      <c r="C8" s="6" t="s">
        <v>8</v>
      </c>
      <c r="D8" s="81">
        <f>COUNT(Q8:EC8)</f>
        <v>23</v>
      </c>
      <c r="E8" s="44">
        <f>AVERAGE(Q8:EC8)</f>
        <v>12.520869565217392</v>
      </c>
      <c r="F8" s="44">
        <f t="shared" si="0"/>
        <v>1.443356908691727</v>
      </c>
      <c r="G8" s="44">
        <f>STDEV(Q8:EC8)</f>
        <v>3.5317468161127437</v>
      </c>
      <c r="H8" s="44">
        <f>QUARTILE(Q8:EC8,2)</f>
        <v>12.3</v>
      </c>
      <c r="I8" s="44">
        <f>MIN(Q8:EC8)</f>
        <v>7.2</v>
      </c>
      <c r="J8" s="44">
        <f>MAX(Q8:EC8)</f>
        <v>19.4</v>
      </c>
      <c r="K8" s="44">
        <f>PERCENTILE(Q8:EC8,0.95)</f>
        <v>18.445</v>
      </c>
      <c r="L8" s="102" t="str">
        <f>IF(H8&lt;18,"A",IF(H8&lt;20,"B",IF(H8&lt;22,"C",IF(H8&lt;25,"D","E"))))</f>
        <v>A</v>
      </c>
      <c r="N8" s="116" t="s">
        <v>90</v>
      </c>
      <c r="O8" s="108"/>
      <c r="P8" t="s">
        <v>90</v>
      </c>
      <c r="Q8">
        <v>16.5</v>
      </c>
      <c r="R8">
        <v>18.6</v>
      </c>
      <c r="S8">
        <v>12.3</v>
      </c>
      <c r="T8">
        <v>7.2</v>
      </c>
      <c r="U8">
        <v>12.3</v>
      </c>
      <c r="V8">
        <v>11.04</v>
      </c>
      <c r="W8">
        <v>8.5</v>
      </c>
      <c r="X8">
        <v>15.8</v>
      </c>
      <c r="Y8">
        <v>15.1</v>
      </c>
      <c r="Z8">
        <v>8.6</v>
      </c>
      <c r="AA8">
        <v>8.8</v>
      </c>
      <c r="AB8">
        <v>13.3</v>
      </c>
      <c r="AC8">
        <v>15.9</v>
      </c>
      <c r="AD8">
        <v>11.3</v>
      </c>
      <c r="AE8">
        <v>8.3</v>
      </c>
      <c r="AF8">
        <v>13.6</v>
      </c>
      <c r="AG8">
        <v>19.4</v>
      </c>
      <c r="AH8">
        <v>11.7</v>
      </c>
      <c r="AI8">
        <v>10.39</v>
      </c>
      <c r="AJ8">
        <v>13.75</v>
      </c>
      <c r="AK8">
        <v>17.05</v>
      </c>
      <c r="AL8">
        <v>9.05</v>
      </c>
      <c r="AM8">
        <v>9.5</v>
      </c>
    </row>
    <row r="9" spans="2:39" ht="12.75">
      <c r="B9" s="71"/>
      <c r="C9" s="7" t="s">
        <v>9</v>
      </c>
      <c r="D9" s="81">
        <f>COUNT(Q9:EC9)</f>
        <v>23</v>
      </c>
      <c r="E9" s="44">
        <f>AVERAGE(Q9:EC9)</f>
        <v>106.32608695652173</v>
      </c>
      <c r="F9" s="44">
        <f t="shared" si="0"/>
        <v>2.4314152280521752</v>
      </c>
      <c r="G9" s="44">
        <f>STDEV(Q9:EC9)</f>
        <v>5.9494245245999355</v>
      </c>
      <c r="H9" s="44">
        <f>QUARTILE(Q9:EC9,2)</f>
        <v>106.5</v>
      </c>
      <c r="I9" s="44">
        <f>MIN(Q9:EC9)</f>
        <v>97.8</v>
      </c>
      <c r="J9" s="44">
        <f>MAX(Q9:EC9)</f>
        <v>119.5</v>
      </c>
      <c r="K9" s="44">
        <f>PERCENTILE(Q9:EC9,0.95)</f>
        <v>115.72</v>
      </c>
      <c r="L9" s="104" t="str">
        <f>IF(AND(99&lt;=H9,H9&lt;=103),"A",IF(AND(98&lt;=H9,H9&lt;=105),"B",IF(H9&gt;90,"C",IF(H9&gt;80,"D","E"))))</f>
        <v>C</v>
      </c>
      <c r="N9" s="116" t="s">
        <v>91</v>
      </c>
      <c r="O9" s="108"/>
      <c r="P9" t="s">
        <v>91</v>
      </c>
      <c r="Q9">
        <v>98.7</v>
      </c>
      <c r="R9">
        <v>107.3</v>
      </c>
      <c r="S9">
        <v>115</v>
      </c>
      <c r="T9">
        <v>109.9</v>
      </c>
      <c r="U9">
        <v>99.8</v>
      </c>
      <c r="V9">
        <v>109.2</v>
      </c>
      <c r="W9">
        <v>110.9</v>
      </c>
      <c r="X9">
        <v>107</v>
      </c>
      <c r="Y9">
        <v>119.5</v>
      </c>
      <c r="Z9">
        <v>105.8</v>
      </c>
      <c r="AA9">
        <v>101.4</v>
      </c>
      <c r="AB9">
        <v>98.9</v>
      </c>
      <c r="AC9">
        <v>104.1</v>
      </c>
      <c r="AD9">
        <v>101.4</v>
      </c>
      <c r="AE9">
        <v>97.8</v>
      </c>
      <c r="AF9">
        <v>109.6</v>
      </c>
      <c r="AG9">
        <v>109.9</v>
      </c>
      <c r="AH9">
        <v>103.6</v>
      </c>
      <c r="AI9">
        <v>110.9</v>
      </c>
      <c r="AJ9">
        <v>106.5</v>
      </c>
      <c r="AK9">
        <v>115.8</v>
      </c>
      <c r="AL9">
        <v>98.9</v>
      </c>
      <c r="AM9">
        <v>103.6</v>
      </c>
    </row>
    <row r="10" spans="2:39" ht="12.75">
      <c r="B10" s="71"/>
      <c r="C10" s="6" t="s">
        <v>10</v>
      </c>
      <c r="D10" s="81">
        <f>COUNT(Q10:EC10)</f>
        <v>23</v>
      </c>
      <c r="E10" s="44">
        <f>AVERAGE(Q10:EC10)</f>
        <v>11.360434782608696</v>
      </c>
      <c r="F10" s="44">
        <f t="shared" si="0"/>
        <v>0.3866722978309632</v>
      </c>
      <c r="G10" s="44">
        <f>STDEV(Q10:EC10)</f>
        <v>0.9461475872806278</v>
      </c>
      <c r="H10" s="44">
        <f>QUARTILE(Q10:EC10,2)</f>
        <v>11.38</v>
      </c>
      <c r="I10" s="44">
        <f>MIN(Q10:EC10)</f>
        <v>9.64</v>
      </c>
      <c r="J10" s="44">
        <f>MAX(Q10:EC10)</f>
        <v>13.24</v>
      </c>
      <c r="K10" s="44">
        <f>PERCENTILE(Q10:EC10,0.95)</f>
        <v>12.914</v>
      </c>
      <c r="L10" s="102"/>
      <c r="N10" s="116" t="s">
        <v>92</v>
      </c>
      <c r="O10" s="108"/>
      <c r="P10" t="s">
        <v>92</v>
      </c>
      <c r="Q10">
        <v>9.64</v>
      </c>
      <c r="R10">
        <v>10.02</v>
      </c>
      <c r="S10">
        <v>12.13</v>
      </c>
      <c r="T10">
        <v>13.24</v>
      </c>
      <c r="U10">
        <v>10.71</v>
      </c>
      <c r="V10">
        <v>12.03</v>
      </c>
      <c r="W10">
        <v>12.97</v>
      </c>
      <c r="X10">
        <v>10.62</v>
      </c>
      <c r="Y10">
        <v>11.99</v>
      </c>
      <c r="Z10">
        <v>12.33</v>
      </c>
      <c r="AA10">
        <v>11.79</v>
      </c>
      <c r="AB10">
        <v>10.35</v>
      </c>
      <c r="AC10">
        <v>10.3</v>
      </c>
      <c r="AD10">
        <v>11.11</v>
      </c>
      <c r="AE10">
        <v>11.5</v>
      </c>
      <c r="AF10">
        <v>11.38</v>
      </c>
      <c r="AG10">
        <v>10.11</v>
      </c>
      <c r="AH10">
        <v>11.22</v>
      </c>
      <c r="AI10">
        <v>12.41</v>
      </c>
      <c r="AJ10">
        <v>11.03</v>
      </c>
      <c r="AK10">
        <v>11.17</v>
      </c>
      <c r="AL10">
        <v>11.41</v>
      </c>
      <c r="AM10">
        <v>11.83</v>
      </c>
    </row>
    <row r="11" spans="2:39" ht="12.75">
      <c r="B11" s="72"/>
      <c r="C11" s="95" t="s">
        <v>11</v>
      </c>
      <c r="D11" s="87">
        <f>COUNT(Q11:EC11)</f>
        <v>23</v>
      </c>
      <c r="E11" s="115">
        <f>AVERAGE(Q11:EC11)</f>
        <v>229.22608695652173</v>
      </c>
      <c r="F11" s="115">
        <f t="shared" si="0"/>
        <v>9.66724313382475</v>
      </c>
      <c r="G11" s="115">
        <f>STDEV(Q11:EC11)</f>
        <v>23.654755766139797</v>
      </c>
      <c r="H11" s="115">
        <f>QUARTILE(Q11:EC11,2)</f>
        <v>230</v>
      </c>
      <c r="I11" s="115">
        <f>MIN(Q11:EC11)</f>
        <v>185</v>
      </c>
      <c r="J11" s="115">
        <f>MAX(Q11:EC11)</f>
        <v>268.4</v>
      </c>
      <c r="K11" s="115">
        <f>PERCENTILE(Q11:EC11,0.95)</f>
        <v>261.6</v>
      </c>
      <c r="L11" s="105"/>
      <c r="N11" s="116" t="s">
        <v>93</v>
      </c>
      <c r="O11" s="108"/>
      <c r="P11" t="s">
        <v>93</v>
      </c>
      <c r="Q11">
        <v>226.1</v>
      </c>
      <c r="R11">
        <v>251.4</v>
      </c>
      <c r="S11">
        <v>268.4</v>
      </c>
      <c r="T11">
        <v>220.3</v>
      </c>
      <c r="U11">
        <v>197</v>
      </c>
      <c r="V11">
        <v>240</v>
      </c>
      <c r="W11">
        <v>228</v>
      </c>
      <c r="X11">
        <v>228</v>
      </c>
      <c r="Y11">
        <v>258</v>
      </c>
      <c r="Z11">
        <v>235</v>
      </c>
      <c r="AA11">
        <v>236</v>
      </c>
      <c r="AB11">
        <v>236</v>
      </c>
      <c r="AC11">
        <v>221</v>
      </c>
      <c r="AD11">
        <v>187</v>
      </c>
      <c r="AE11">
        <v>185</v>
      </c>
      <c r="AF11">
        <v>230</v>
      </c>
      <c r="AG11">
        <v>232</v>
      </c>
      <c r="AH11">
        <v>254</v>
      </c>
      <c r="AI11">
        <v>197</v>
      </c>
      <c r="AJ11">
        <v>258</v>
      </c>
      <c r="AK11">
        <v>262</v>
      </c>
      <c r="AL11">
        <v>206</v>
      </c>
      <c r="AM11">
        <v>216</v>
      </c>
    </row>
    <row r="12" spans="2:39" ht="12.75">
      <c r="B12" s="68" t="s">
        <v>105</v>
      </c>
      <c r="C12" s="4" t="s">
        <v>12</v>
      </c>
      <c r="D12" s="81">
        <f>COUNT(Q12:EC12)</f>
        <v>23</v>
      </c>
      <c r="E12" s="82">
        <f>AVERAGE(Q12:EC12)</f>
        <v>0.8452173913043479</v>
      </c>
      <c r="F12" s="82">
        <f t="shared" si="0"/>
        <v>0.16607031816906775</v>
      </c>
      <c r="G12" s="82">
        <f>STDEV(Q12:EC12)</f>
        <v>0.4063570929078528</v>
      </c>
      <c r="H12" s="82">
        <f>QUARTILE(Q12:EC12,2)</f>
        <v>0.66</v>
      </c>
      <c r="I12" s="82">
        <f>MIN(Q12:EC12)</f>
        <v>0.3</v>
      </c>
      <c r="J12" s="82">
        <f>MAX(Q12:EC12)</f>
        <v>1.65</v>
      </c>
      <c r="K12" s="82">
        <f>PERCENTILE(Q12:EC12,0.95)</f>
        <v>1.4869999999999999</v>
      </c>
      <c r="L12" s="102" t="str">
        <f>IF(H12&lt;1,"A",IF(H12&lt;2,"B",IF(H12&lt;3,"C",IF(H12&lt;5,"D","E"))))</f>
        <v>A</v>
      </c>
      <c r="N12" s="116" t="s">
        <v>94</v>
      </c>
      <c r="O12" s="108"/>
      <c r="P12" t="s">
        <v>94</v>
      </c>
      <c r="Q12">
        <v>0.96</v>
      </c>
      <c r="R12">
        <v>0.5</v>
      </c>
      <c r="S12">
        <v>0.47</v>
      </c>
      <c r="T12">
        <v>0.83</v>
      </c>
      <c r="U12">
        <v>1.27</v>
      </c>
      <c r="V12">
        <v>0.62</v>
      </c>
      <c r="W12">
        <v>0.66</v>
      </c>
      <c r="X12">
        <v>0.65</v>
      </c>
      <c r="Y12">
        <v>0.86</v>
      </c>
      <c r="Z12">
        <v>0.49</v>
      </c>
      <c r="AA12">
        <v>0.62</v>
      </c>
      <c r="AB12">
        <v>0.82</v>
      </c>
      <c r="AC12">
        <v>0.3</v>
      </c>
      <c r="AD12">
        <v>1.49</v>
      </c>
      <c r="AE12">
        <v>1.46</v>
      </c>
      <c r="AF12">
        <v>0.41</v>
      </c>
      <c r="AG12">
        <v>0.52</v>
      </c>
      <c r="AH12">
        <v>0.57</v>
      </c>
      <c r="AI12">
        <v>1.4</v>
      </c>
      <c r="AJ12">
        <v>1.65</v>
      </c>
      <c r="AK12">
        <v>0.48</v>
      </c>
      <c r="AL12">
        <v>1.02</v>
      </c>
      <c r="AM12">
        <v>1.39</v>
      </c>
    </row>
    <row r="13" spans="2:39" ht="12.75">
      <c r="B13" s="71"/>
      <c r="C13" s="6" t="s">
        <v>13</v>
      </c>
      <c r="D13" s="81">
        <f>COUNT(Q13:EC13)</f>
        <v>23</v>
      </c>
      <c r="E13" s="44">
        <f>AVERAGE(Q13:EC13)</f>
        <v>5.2752173913043485</v>
      </c>
      <c r="F13" s="44">
        <f t="shared" si="0"/>
        <v>0.7840183911181406</v>
      </c>
      <c r="G13" s="44">
        <f>STDEV(Q13:EC13)</f>
        <v>1.9184128609708437</v>
      </c>
      <c r="H13" s="44">
        <f>QUARTILE(Q13:EC13,2)</f>
        <v>5</v>
      </c>
      <c r="I13" s="44">
        <f>MIN(Q13:EC13)</f>
        <v>2.4</v>
      </c>
      <c r="J13" s="44">
        <f>MAX(Q13:EC13)</f>
        <v>9</v>
      </c>
      <c r="K13" s="44">
        <f>PERCENTILE(Q13:EC13,0.95)</f>
        <v>8.062</v>
      </c>
      <c r="L13" s="102" t="str">
        <f>IF(H13&gt;6,"A",IF(H13&gt;4,"B",IF(H13&gt;2.5,"C",IF(H13&gt;0.6,"D","E"))))</f>
        <v>B</v>
      </c>
      <c r="N13" s="116" t="s">
        <v>13</v>
      </c>
      <c r="O13" s="108"/>
      <c r="P13" t="s">
        <v>13</v>
      </c>
      <c r="Q13">
        <v>3.2</v>
      </c>
      <c r="R13">
        <v>5</v>
      </c>
      <c r="S13">
        <v>6.25</v>
      </c>
      <c r="T13">
        <v>9</v>
      </c>
      <c r="U13">
        <v>3.5</v>
      </c>
      <c r="V13">
        <v>8.08</v>
      </c>
      <c r="W13">
        <v>4.2</v>
      </c>
      <c r="X13">
        <v>5.2</v>
      </c>
      <c r="Y13">
        <v>6.8</v>
      </c>
      <c r="Z13">
        <v>6.8</v>
      </c>
      <c r="AA13">
        <v>7.9</v>
      </c>
      <c r="AB13">
        <v>6.5</v>
      </c>
      <c r="AC13">
        <v>7.9</v>
      </c>
      <c r="AD13">
        <v>3.1</v>
      </c>
      <c r="AE13">
        <v>4.5</v>
      </c>
      <c r="AF13">
        <v>4.1</v>
      </c>
      <c r="AG13">
        <v>6.8</v>
      </c>
      <c r="AH13">
        <v>5.5</v>
      </c>
      <c r="AI13">
        <v>2.6</v>
      </c>
      <c r="AJ13">
        <v>3.9</v>
      </c>
      <c r="AK13">
        <v>4.4</v>
      </c>
      <c r="AL13">
        <v>2.4</v>
      </c>
      <c r="AM13">
        <v>3.7</v>
      </c>
    </row>
    <row r="14" spans="2:39" ht="12.75">
      <c r="B14" s="72"/>
      <c r="C14" s="95" t="s">
        <v>14</v>
      </c>
      <c r="D14" s="87">
        <f>COUNT(Q14:EC14)</f>
        <v>22</v>
      </c>
      <c r="E14" s="115">
        <f>AVERAGE(Q14:EC14)</f>
        <v>1.0590909090909089</v>
      </c>
      <c r="F14" s="115">
        <f t="shared" si="0"/>
        <v>0.42509770457567264</v>
      </c>
      <c r="G14" s="115">
        <f>STDEV(Q14:EC14)</f>
        <v>1.0173069447877665</v>
      </c>
      <c r="H14" s="115">
        <f>QUARTILE(Q14:EC14,2)</f>
        <v>0.75</v>
      </c>
      <c r="I14" s="115">
        <f>MIN(Q14:EC14)</f>
        <v>0.3</v>
      </c>
      <c r="J14" s="115">
        <f>MAX(Q14:EC14)</f>
        <v>5</v>
      </c>
      <c r="K14" s="115">
        <f>PERCENTILE(Q14:EC14,0.95)</f>
        <v>2</v>
      </c>
      <c r="L14" s="102"/>
      <c r="N14" s="116" t="s">
        <v>95</v>
      </c>
      <c r="O14" s="108"/>
      <c r="P14" t="s">
        <v>95</v>
      </c>
      <c r="Q14">
        <v>2</v>
      </c>
      <c r="R14">
        <v>1</v>
      </c>
      <c r="S14">
        <v>1</v>
      </c>
      <c r="U14">
        <v>0.8</v>
      </c>
      <c r="V14">
        <v>0.4</v>
      </c>
      <c r="W14">
        <v>0.6</v>
      </c>
      <c r="X14">
        <v>0.7</v>
      </c>
      <c r="Y14">
        <v>0.7</v>
      </c>
      <c r="Z14">
        <v>0.5</v>
      </c>
      <c r="AA14">
        <v>0.3</v>
      </c>
      <c r="AB14">
        <v>0.5</v>
      </c>
      <c r="AC14">
        <v>0.9</v>
      </c>
      <c r="AD14">
        <v>0.7</v>
      </c>
      <c r="AE14">
        <v>0.8</v>
      </c>
      <c r="AF14">
        <v>0.7</v>
      </c>
      <c r="AG14">
        <v>2</v>
      </c>
      <c r="AH14">
        <v>0.3</v>
      </c>
      <c r="AI14">
        <v>1</v>
      </c>
      <c r="AJ14">
        <v>5</v>
      </c>
      <c r="AK14">
        <v>2</v>
      </c>
      <c r="AL14">
        <v>0.4</v>
      </c>
      <c r="AM14">
        <v>1</v>
      </c>
    </row>
    <row r="15" spans="2:39" ht="12.75">
      <c r="B15" s="208" t="s">
        <v>267</v>
      </c>
      <c r="C15" s="8" t="s">
        <v>268</v>
      </c>
      <c r="D15" s="81">
        <f>COUNT(Q15:EC15)</f>
        <v>23</v>
      </c>
      <c r="E15" s="40">
        <f>AVERAGE(Q15:EC15)</f>
        <v>122.56521739130434</v>
      </c>
      <c r="F15" s="40">
        <f t="shared" si="0"/>
        <v>194.27994986419407</v>
      </c>
      <c r="G15" s="40">
        <f>STDEV(Q15:EC15)</f>
        <v>475.3831780867989</v>
      </c>
      <c r="H15" s="40">
        <f>QUARTILE(Q15:EC15,2)</f>
        <v>17</v>
      </c>
      <c r="I15" s="40">
        <f>MIN(Q15:EC15)</f>
        <v>5</v>
      </c>
      <c r="J15" s="40">
        <f>MAX(Q15:EC15)</f>
        <v>2300</v>
      </c>
      <c r="K15" s="40">
        <f>PERCENTILE(Q15:EC15,0.95)</f>
        <v>115.19999999999993</v>
      </c>
      <c r="L15" s="106" t="str">
        <f>IF(H15&lt;10,"A",IF(H15&lt;130,"B",IF(H15&lt;260,"C",IF(H15&lt;550,"D","E"))))</f>
        <v>B</v>
      </c>
      <c r="N15" s="116" t="s">
        <v>255</v>
      </c>
      <c r="O15" s="108"/>
      <c r="P15" t="s">
        <v>255</v>
      </c>
      <c r="Q15">
        <v>30</v>
      </c>
      <c r="R15">
        <v>20</v>
      </c>
      <c r="S15">
        <v>72</v>
      </c>
      <c r="T15">
        <v>5</v>
      </c>
      <c r="U15">
        <v>120</v>
      </c>
      <c r="V15">
        <v>5</v>
      </c>
      <c r="W15">
        <v>5</v>
      </c>
      <c r="X15">
        <v>5</v>
      </c>
      <c r="Y15">
        <v>15</v>
      </c>
      <c r="Z15">
        <v>35</v>
      </c>
      <c r="AA15">
        <v>5</v>
      </c>
      <c r="AB15">
        <v>5</v>
      </c>
      <c r="AC15">
        <v>30</v>
      </c>
      <c r="AD15">
        <v>15</v>
      </c>
      <c r="AE15">
        <v>25</v>
      </c>
      <c r="AF15">
        <v>17</v>
      </c>
      <c r="AG15">
        <v>30</v>
      </c>
      <c r="AH15">
        <v>10</v>
      </c>
      <c r="AI15">
        <v>10</v>
      </c>
      <c r="AJ15">
        <v>2300</v>
      </c>
      <c r="AK15">
        <v>35</v>
      </c>
      <c r="AL15">
        <v>20</v>
      </c>
      <c r="AM15">
        <v>5</v>
      </c>
    </row>
    <row r="16" spans="2:15" ht="12.75">
      <c r="B16" s="72"/>
      <c r="C16" s="95"/>
      <c r="D16" s="87"/>
      <c r="E16" s="88"/>
      <c r="F16" s="88"/>
      <c r="G16" s="88"/>
      <c r="H16" s="88"/>
      <c r="I16" s="88"/>
      <c r="J16" s="88"/>
      <c r="K16" s="88"/>
      <c r="L16" s="105"/>
      <c r="N16" s="116"/>
      <c r="O16" s="108"/>
    </row>
    <row r="17" spans="2:36" ht="12.75">
      <c r="B17" s="73" t="s">
        <v>107</v>
      </c>
      <c r="C17" s="9" t="s">
        <v>17</v>
      </c>
      <c r="D17" s="81">
        <f>COUNT(Q17:EC17)</f>
        <v>6</v>
      </c>
      <c r="E17" s="44">
        <f>AVERAGE(Q17:EC17)</f>
        <v>108.11116666666668</v>
      </c>
      <c r="F17" s="44">
        <f>CONFIDENCE(0.05,G17,D17)</f>
        <v>4.688955137026896</v>
      </c>
      <c r="G17" s="44">
        <f>STDEV(Q17:EC17)</f>
        <v>5.860080901034103</v>
      </c>
      <c r="H17" s="44">
        <f>QUARTILE(Q17:EC17,2)</f>
        <v>106.3335</v>
      </c>
      <c r="I17" s="44">
        <f>MIN(Q17:EC17)</f>
        <v>103</v>
      </c>
      <c r="J17" s="44">
        <f>MAX(Q17:EC17)</f>
        <v>118</v>
      </c>
      <c r="K17" s="44">
        <f>PERCENTILE(Q17:EC17,0.95)</f>
        <v>116.5</v>
      </c>
      <c r="L17" s="102" t="str">
        <f>IF(H17&gt;120,"A",IF(H17&gt;100,"B",IF(H17&gt;80,"C",IF(H17&gt;60,"D","E"))))</f>
        <v>B</v>
      </c>
      <c r="N17" s="116" t="s">
        <v>17</v>
      </c>
      <c r="O17" s="108"/>
      <c r="P17" t="s">
        <v>17</v>
      </c>
      <c r="Q17">
        <v>106</v>
      </c>
      <c r="U17">
        <v>118</v>
      </c>
      <c r="X17">
        <v>112</v>
      </c>
      <c r="AB17">
        <v>103</v>
      </c>
      <c r="AF17">
        <v>103</v>
      </c>
      <c r="AJ17">
        <v>106.667</v>
      </c>
    </row>
    <row r="18" spans="2:36" ht="12.75">
      <c r="B18" s="74"/>
      <c r="C18" s="96" t="s">
        <v>18</v>
      </c>
      <c r="D18" s="81">
        <f>COUNT(Q18:EC18)</f>
        <v>6</v>
      </c>
      <c r="E18" s="44">
        <f>AVERAGE(Q18:EC18)</f>
        <v>6.203333333333333</v>
      </c>
      <c r="F18" s="44">
        <f>CONFIDENCE(0.05,G18,D18)</f>
        <v>0.5980013962408403</v>
      </c>
      <c r="G18" s="44">
        <f>STDEV(Q18:EC18)</f>
        <v>0.747359797331022</v>
      </c>
      <c r="H18" s="44">
        <f>QUARTILE(Q18:EC18,2)</f>
        <v>6.470000000000001</v>
      </c>
      <c r="I18" s="44">
        <f>MIN(Q18:EC18)</f>
        <v>4.71</v>
      </c>
      <c r="J18" s="44">
        <f>MAX(Q18:EC18)</f>
        <v>6.63</v>
      </c>
      <c r="K18" s="44">
        <f>PERCENTILE(Q18:EC18,0.95)</f>
        <v>6.63</v>
      </c>
      <c r="L18" s="105" t="str">
        <f>IF(H18&gt;6,"A",IF(H18&gt;5,"B",IF(H18&gt;4,"C",IF(H18&gt;3,"D","E"))))</f>
        <v>A</v>
      </c>
      <c r="N18" s="116" t="s">
        <v>18</v>
      </c>
      <c r="O18" s="108"/>
      <c r="P18" t="s">
        <v>18</v>
      </c>
      <c r="Q18">
        <v>6.63</v>
      </c>
      <c r="U18">
        <v>6.63</v>
      </c>
      <c r="X18">
        <v>6.32</v>
      </c>
      <c r="AB18">
        <v>6.62</v>
      </c>
      <c r="AF18">
        <v>6.31</v>
      </c>
      <c r="AJ18">
        <v>4.71</v>
      </c>
    </row>
    <row r="19" spans="2:36" ht="12.75">
      <c r="B19" s="71" t="s">
        <v>106</v>
      </c>
      <c r="C19" s="7" t="s">
        <v>19</v>
      </c>
      <c r="D19" s="86">
        <f>COUNT(Q19:EC19)</f>
        <v>7</v>
      </c>
      <c r="E19" s="113">
        <f>AVERAGE(Q19:EC19)</f>
        <v>7.5857142857142845</v>
      </c>
      <c r="F19" s="113">
        <f>CONFIDENCE(0.05,G19,D19)</f>
        <v>0.8816711507822841</v>
      </c>
      <c r="G19" s="113">
        <f>STDEV(Q19:EC19)</f>
        <v>1.1901660548407815</v>
      </c>
      <c r="H19" s="113">
        <f>QUARTILE(Q19:EC19,2)</f>
        <v>7.2</v>
      </c>
      <c r="I19" s="113">
        <f>MIN(Q19:EC19)</f>
        <v>6.34</v>
      </c>
      <c r="J19" s="113">
        <f>MAX(Q19:EC19)</f>
        <v>10</v>
      </c>
      <c r="K19" s="113">
        <f>PERCENTILE(Q19:EC19,0.95)</f>
        <v>9.399999999999999</v>
      </c>
      <c r="L19" s="102" t="str">
        <f>IF(H19&gt;8,"A",IF(H19&gt;6,"B",IF(H19&gt;4,"C",IF(H19&gt;2,"D","E"))))</f>
        <v>B</v>
      </c>
      <c r="N19" s="116" t="s">
        <v>96</v>
      </c>
      <c r="O19" s="108"/>
      <c r="P19" t="s">
        <v>96</v>
      </c>
      <c r="R19">
        <v>7.2</v>
      </c>
      <c r="S19">
        <v>6.78</v>
      </c>
      <c r="T19">
        <v>6.34</v>
      </c>
      <c r="X19">
        <v>7.2</v>
      </c>
      <c r="AB19">
        <v>10</v>
      </c>
      <c r="AF19">
        <v>8</v>
      </c>
      <c r="AJ19">
        <v>7.58</v>
      </c>
    </row>
    <row r="20" spans="2:36" ht="13.5" thickBot="1">
      <c r="B20" s="72"/>
      <c r="C20" s="97" t="s">
        <v>122</v>
      </c>
      <c r="D20" s="87">
        <f>COUNT(Q20:EC20)</f>
        <v>4</v>
      </c>
      <c r="E20" s="114">
        <f>AVERAGE(Q20:EC20)</f>
        <v>6.75</v>
      </c>
      <c r="F20" s="114">
        <f>CONFIDENCE(0.05,G20,D20)</f>
        <v>11.95885908767046</v>
      </c>
      <c r="G20" s="114">
        <f>STDEV(Q20:EC20)</f>
        <v>12.203141671990318</v>
      </c>
      <c r="H20" s="114">
        <f>QUARTILE(Q20:EC20,2)</f>
        <v>1</v>
      </c>
      <c r="I20" s="114">
        <f>MIN(Q20:EC20)</f>
        <v>0</v>
      </c>
      <c r="J20" s="114">
        <f>MAX(Q20:EC20)</f>
        <v>25</v>
      </c>
      <c r="K20" s="114">
        <f>PERCENTILE(Q20:EC20,0.95)</f>
        <v>21.54999999999999</v>
      </c>
      <c r="L20" s="105"/>
      <c r="N20" s="116" t="s">
        <v>97</v>
      </c>
      <c r="O20" s="108"/>
      <c r="P20" t="s">
        <v>97</v>
      </c>
      <c r="X20">
        <v>2</v>
      </c>
      <c r="AB20">
        <v>0</v>
      </c>
      <c r="AF20">
        <v>25</v>
      </c>
      <c r="AJ20">
        <v>0</v>
      </c>
    </row>
    <row r="21" spans="2:15" ht="12.75">
      <c r="B21" s="80"/>
      <c r="C21" s="89"/>
      <c r="D21" s="89"/>
      <c r="E21" s="89"/>
      <c r="F21" s="89"/>
      <c r="G21" s="89"/>
      <c r="H21" s="89"/>
      <c r="I21" s="89"/>
      <c r="J21" s="89"/>
      <c r="K21" s="89"/>
      <c r="L21" s="100"/>
      <c r="O21" s="108"/>
    </row>
    <row r="22" spans="2:15" ht="12.75">
      <c r="B22" s="210" t="s">
        <v>119</v>
      </c>
      <c r="C22" s="211"/>
      <c r="D22" s="211"/>
      <c r="E22" s="211"/>
      <c r="F22" s="211"/>
      <c r="G22" s="76" t="str">
        <f>'Combined Score Calcs'!X10</f>
        <v>B</v>
      </c>
      <c r="H22" s="39"/>
      <c r="I22" s="39"/>
      <c r="J22" s="39"/>
      <c r="K22" s="99"/>
      <c r="L22" s="90"/>
      <c r="N22" s="111"/>
      <c r="O22" s="108"/>
    </row>
    <row r="23" spans="2:17" ht="13.5" thickBot="1">
      <c r="B23" s="83"/>
      <c r="C23" s="84"/>
      <c r="D23" s="84"/>
      <c r="E23" s="84"/>
      <c r="F23" s="84"/>
      <c r="G23" s="84"/>
      <c r="H23" s="84"/>
      <c r="I23" s="84"/>
      <c r="J23" s="84"/>
      <c r="K23" s="84"/>
      <c r="L23" s="91"/>
      <c r="N23" s="111"/>
      <c r="O23" s="108"/>
      <c r="Q23" s="20"/>
    </row>
    <row r="24" spans="12:17" ht="12.75">
      <c r="L24" s="60"/>
      <c r="N24" s="111"/>
      <c r="O24" s="108"/>
      <c r="Q24" s="20"/>
    </row>
    <row r="25" spans="12:15" ht="12.75">
      <c r="L25" s="60"/>
      <c r="O25" s="108"/>
    </row>
    <row r="26" spans="12:15" ht="12.75">
      <c r="L26" s="60"/>
      <c r="O26" s="108"/>
    </row>
    <row r="27" spans="12:15" ht="12.75">
      <c r="L27" s="60"/>
      <c r="O27" s="108"/>
    </row>
    <row r="28" spans="7:15" ht="12.75">
      <c r="G28" t="s">
        <v>140</v>
      </c>
      <c r="H28" t="s">
        <v>141</v>
      </c>
      <c r="L28" s="60"/>
      <c r="O28" s="108"/>
    </row>
    <row r="29" spans="5:15" ht="12.75">
      <c r="E29" s="158"/>
      <c r="F29" s="153"/>
      <c r="G29" s="118" t="s">
        <v>21</v>
      </c>
      <c r="H29" s="136">
        <v>1.5</v>
      </c>
      <c r="I29" s="137">
        <v>10</v>
      </c>
      <c r="J29" s="119"/>
      <c r="K29" s="119"/>
      <c r="L29" s="60"/>
      <c r="O29" s="108"/>
    </row>
    <row r="30" spans="5:12" ht="12.75">
      <c r="E30" s="158"/>
      <c r="F30" s="153"/>
      <c r="G30" s="122" t="s">
        <v>22</v>
      </c>
      <c r="H30" s="137">
        <v>65</v>
      </c>
      <c r="I30" s="137">
        <v>270</v>
      </c>
      <c r="J30" s="119"/>
      <c r="K30" s="119"/>
      <c r="L30" s="60"/>
    </row>
    <row r="31" spans="5:12" ht="12.75">
      <c r="E31" s="158"/>
      <c r="F31" s="153"/>
      <c r="G31" s="122" t="s">
        <v>23</v>
      </c>
      <c r="H31" s="137">
        <v>50</v>
      </c>
      <c r="I31" s="137">
        <v>220</v>
      </c>
      <c r="J31" s="119"/>
      <c r="K31" s="119"/>
      <c r="L31" s="60"/>
    </row>
    <row r="32" spans="5:12" ht="12.75">
      <c r="E32" s="158"/>
      <c r="F32" s="153"/>
      <c r="G32" s="122" t="s">
        <v>24</v>
      </c>
      <c r="H32" s="137">
        <v>200</v>
      </c>
      <c r="I32" s="137">
        <v>210</v>
      </c>
      <c r="J32" s="119"/>
      <c r="K32" s="119"/>
      <c r="L32" s="60"/>
    </row>
    <row r="33" spans="7:12" ht="12.75">
      <c r="G33" s="122"/>
      <c r="H33" t="s">
        <v>137</v>
      </c>
      <c r="I33" t="s">
        <v>138</v>
      </c>
      <c r="L33" s="60"/>
    </row>
    <row r="34" ht="12.75">
      <c r="L34" s="60"/>
    </row>
    <row r="35" ht="12.75">
      <c r="L35" s="60"/>
    </row>
    <row r="36" spans="5:12" ht="12.75">
      <c r="E36" s="158"/>
      <c r="F36" s="153"/>
      <c r="G36" s="119"/>
      <c r="H36" s="119"/>
      <c r="I36" s="119"/>
      <c r="J36" s="119"/>
      <c r="K36" s="119"/>
      <c r="L36" s="60"/>
    </row>
    <row r="37" spans="5:12" ht="12.75">
      <c r="E37" s="158"/>
      <c r="F37" s="153"/>
      <c r="G37" s="119"/>
      <c r="H37" s="119"/>
      <c r="I37" s="119"/>
      <c r="J37" s="119"/>
      <c r="K37" s="119"/>
      <c r="L37" s="60"/>
    </row>
    <row r="38" spans="5:12" ht="12.75">
      <c r="E38" s="158"/>
      <c r="F38" s="153"/>
      <c r="G38" s="119"/>
      <c r="H38" s="119"/>
      <c r="I38" s="119"/>
      <c r="J38" s="119"/>
      <c r="K38" s="119"/>
      <c r="L38" s="60"/>
    </row>
    <row r="39" spans="5:12" ht="12.75">
      <c r="E39" s="158"/>
      <c r="F39" s="153"/>
      <c r="G39" s="119"/>
      <c r="H39" s="119"/>
      <c r="I39" s="119"/>
      <c r="J39" s="119"/>
      <c r="K39" s="119"/>
      <c r="L39" s="60"/>
    </row>
    <row r="40" spans="5:12" ht="12.75">
      <c r="E40" s="158"/>
      <c r="F40" s="153"/>
      <c r="G40" s="119"/>
      <c r="H40" s="119"/>
      <c r="I40" s="119"/>
      <c r="J40" s="119"/>
      <c r="K40" s="119"/>
      <c r="L40" s="60"/>
    </row>
    <row r="41" spans="5:12" ht="12.75">
      <c r="E41" s="158"/>
      <c r="F41" s="153"/>
      <c r="G41" s="119"/>
      <c r="H41" s="119"/>
      <c r="I41" s="119"/>
      <c r="J41" s="119"/>
      <c r="K41" s="119"/>
      <c r="L41" s="60"/>
    </row>
    <row r="42" ht="12.75">
      <c r="L42" s="60"/>
    </row>
  </sheetData>
  <mergeCells count="1">
    <mergeCell ref="B22:F22"/>
  </mergeCells>
  <printOptions/>
  <pageMargins left="0.75" right="0.75" top="1" bottom="1" header="0.5" footer="0.5"/>
  <pageSetup horizontalDpi="600" verticalDpi="600" orientation="portrait" paperSize="1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Cawthron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jeremyw</dc:creator>
  <cp:keywords/>
  <dc:description/>
  <cp:lastModifiedBy>Paul Sheldon</cp:lastModifiedBy>
  <dcterms:created xsi:type="dcterms:W3CDTF">2007-08-02T05:09:57Z</dcterms:created>
  <dcterms:modified xsi:type="dcterms:W3CDTF">2008-12-14T22:11:55Z</dcterms:modified>
  <cp:category/>
  <cp:version/>
  <cp:contentType/>
  <cp:contentStatus/>
</cp:coreProperties>
</file>