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155" windowHeight="7965" activeTab="1"/>
  </bookViews>
  <sheets>
    <sheet name="Instruction page" sheetId="1" r:id="rId1"/>
    <sheet name="Inputs" sheetId="2" r:id="rId2"/>
    <sheet name="Outputs" sheetId="3" r:id="rId3"/>
    <sheet name="Cost Output by Heating Type" sheetId="4" r:id="rId4"/>
    <sheet name="IntFreeLoan$NPV" sheetId="5" state="hidden" r:id="rId5"/>
  </sheets>
  <definedNames>
    <definedName name="AdminCost">'Inputs'!$Q$7</definedName>
    <definedName name="CapCostDiesel">'Inputs'!$U$8</definedName>
    <definedName name="CapCostGas">'Inputs'!$T$8</definedName>
    <definedName name="CapCostHP">'Inputs'!$S$8</definedName>
    <definedName name="CapCostPellet">'Inputs'!$R$8</definedName>
    <definedName name="CapCostWB">'Inputs'!$Q$8</definedName>
    <definedName name="Capitalcost">'IntFreeLoan$NPV'!$C$5</definedName>
    <definedName name="CapitalcostWB">'IntFreeLoan$NPV'!$C$5</definedName>
    <definedName name="EECAinslOnly">0.02</definedName>
    <definedName name="EECAsubCH">'Inputs'!$N$16</definedName>
    <definedName name="EECAsubCHcs">'Inputs'!$N$17</definedName>
    <definedName name="EECAsubCHtenCS">'Inputs'!$N$18</definedName>
    <definedName name="EECAsubCSInsl">'Inputs'!$M$17</definedName>
    <definedName name="EECAsubInsl">'Inputs'!$M$16</definedName>
    <definedName name="EECAsubtencsInsl">'Inputs'!$M$18</definedName>
    <definedName name="FSCHnoSub">'Inputs'!$C$17</definedName>
    <definedName name="FSCouncilCost">'Cost Output by Heating Type'!$D$10</definedName>
    <definedName name="FSEECAcost">'Cost Output by Heating Type'!$E$10</definedName>
    <definedName name="FSHC">'Inputs'!$M$6</definedName>
    <definedName name="FSHCCouncilCost">'Cost Output by Heating Type'!$D$19</definedName>
    <definedName name="FSHCdiesel">'Inputs'!$D$38</definedName>
    <definedName name="FSHCEECAcost">'Cost Output by Heating Type'!$E$19</definedName>
    <definedName name="FSHCgas">'Inputs'!$D$37</definedName>
    <definedName name="FSHChhCost">'Cost Output by Heating Type'!$F$19</definedName>
    <definedName name="FSHChouseholdCost">'Cost Output by Heating Type'!$F$19</definedName>
    <definedName name="FSHChp">'Inputs'!$D$36</definedName>
    <definedName name="FSHCinsl">'Inputs'!$D$25</definedName>
    <definedName name="FSHCinslCh">'Inputs'!$D$25</definedName>
    <definedName name="FSHCinslCHnosub">'Inputs'!$D$19</definedName>
    <definedName name="FSHCinslnosub">'Inputs'!$D$18</definedName>
    <definedName name="FSHCjustCHnosub">'Inputs'!$D$17</definedName>
    <definedName name="FSHCjustinsl">'Inputs'!$D$21</definedName>
    <definedName name="FSHCjustinslnosub">'Inputs'!$D$18</definedName>
    <definedName name="FSHCpellet">'Inputs'!$D$35</definedName>
    <definedName name="FSHCprop">'Inputs'!$J$7</definedName>
    <definedName name="FSHCPropCS">'Inputs'!$D$27</definedName>
    <definedName name="FSHCpropCSio">'Inputs'!$D$23</definedName>
    <definedName name="FSHCpropCStenio">'Inputs'!$D$24</definedName>
    <definedName name="FSHCpropEECA">'Inputs'!$D$26</definedName>
    <definedName name="FSHCpropEECAio">'Inputs'!$D$22</definedName>
    <definedName name="FSHCproptenCS">'Inputs'!$D$28</definedName>
    <definedName name="FSHCproptenCSio">'Inputs'!$D$24</definedName>
    <definedName name="FSHCtotalcost">'Cost Output by Heating Type'!$G$19</definedName>
    <definedName name="FSHCwb">'Inputs'!$D$34</definedName>
    <definedName name="FSHouseholdCost">'Cost Output by Heating Type'!$F$10</definedName>
    <definedName name="FSinslCHnosub">'Inputs'!$C$19</definedName>
    <definedName name="FSInslNoSub">'Inputs'!$C$18</definedName>
    <definedName name="FSjustCHnosub">'Inputs'!$C$17</definedName>
    <definedName name="FSjustInsl">'Inputs'!$C$21</definedName>
    <definedName name="FSprop">'Inputs'!$J$6</definedName>
    <definedName name="FSpropCS">'Inputs'!$C$27</definedName>
    <definedName name="FSpropCSio">'Inputs'!$C$23</definedName>
    <definedName name="FSpropEECA">'Inputs'!$C$26</definedName>
    <definedName name="FSpropEECAio">'Inputs'!$C$22</definedName>
    <definedName name="FSproptenCS">'Inputs'!$C$28</definedName>
    <definedName name="FSproptenCSio">'Inputs'!$C$24</definedName>
    <definedName name="FStotalcost">'Cost Output by Heating Type'!$G$10</definedName>
    <definedName name="FullSubDiesel">'Inputs'!$C$38</definedName>
    <definedName name="FullSubGas">'Inputs'!$C$37</definedName>
    <definedName name="FullSubHP">'Inputs'!$C$36</definedName>
    <definedName name="FullSubInsl">'Inputs'!$C$25</definedName>
    <definedName name="FullsubInslnoSub">'Cost Output by Heating Type'!#REF!</definedName>
    <definedName name="FullSubPellet">'Inputs'!$C$35</definedName>
    <definedName name="FullSubWB">'Inputs'!$C$34</definedName>
    <definedName name="HHCS">'Inputs'!$Q$13</definedName>
    <definedName name="HHFSHC">'Inputs'!$J$17</definedName>
    <definedName name="HHFullsub">'Inputs'!$J$16</definedName>
    <definedName name="HHIntFree">'Inputs'!$J$18</definedName>
    <definedName name="HHlandlord">'Inputs'!$J$20</definedName>
    <definedName name="HHoutput">'Inputs'!$C$7</definedName>
    <definedName name="HHpartsub">'Inputs'!$J$19</definedName>
    <definedName name="HHYearlyCost">'IntFreeLoan$NPV'!$D$5</definedName>
    <definedName name="HHyearlycostDiesel">'IntFreeLoan$NPV'!$D$9</definedName>
    <definedName name="HHyearlycostGas">'IntFreeLoan$NPV'!$D$8</definedName>
    <definedName name="HHyearlycostHP">'IntFreeLoan$NPV'!$D$7</definedName>
    <definedName name="HHyearlycostinsl">'IntFreeLoan$NPV'!#REF!</definedName>
    <definedName name="HHyearlycostPellet">'IntFreeLoan$NPV'!$D$6</definedName>
    <definedName name="HHYearlyCostWb">'IntFreeLoan$NPV'!$D$5</definedName>
    <definedName name="IfccDiesel">'IntFreeLoan$NPV'!$F$9</definedName>
    <definedName name="IFccGas">'IntFreeLoan$NPV'!$F$8</definedName>
    <definedName name="IFccHP">'IntFreeLoan$NPV'!$F$7</definedName>
    <definedName name="IFccpellet">'IntFreeLoan$NPV'!$F$6</definedName>
    <definedName name="IFccWB">'IntFreeLoan$NPV'!$F$5</definedName>
    <definedName name="IFCouncilCost">'Cost Output by Heating Type'!$D$28</definedName>
    <definedName name="IFDIESEL">'Inputs'!$E$38</definedName>
    <definedName name="IFEECACost">'Cost Output by Heating Type'!$E$28</definedName>
    <definedName name="IFGAS">'Inputs'!$E$37</definedName>
    <definedName name="IFHHcost">'Cost Output by Heating Type'!$F$28</definedName>
    <definedName name="IFHP">'Inputs'!$E$36</definedName>
    <definedName name="IFInsl">'Inputs'!$E$25</definedName>
    <definedName name="IFinslCHnoSub">'Inputs'!$E$19</definedName>
    <definedName name="IFInslnoSub">'Inputs'!$E$18</definedName>
    <definedName name="IFjustCHnosub">'Inputs'!$E$17</definedName>
    <definedName name="IFJustInsl">'Inputs'!$E$21</definedName>
    <definedName name="IFmaxSub">'Inputs'!$M$7</definedName>
    <definedName name="ifPELLET">'Inputs'!$E$35</definedName>
    <definedName name="IFprop">'Inputs'!$J$8</definedName>
    <definedName name="IFpropCS">'Inputs'!$E$27</definedName>
    <definedName name="IFpropCSio">'Inputs'!$E$23</definedName>
    <definedName name="IFpropEECA">'Inputs'!$E$26</definedName>
    <definedName name="IFpropEECAio">'Inputs'!$E$22</definedName>
    <definedName name="IFproptenCS">'Inputs'!$E$28</definedName>
    <definedName name="ifproptenCSio">'Inputs'!$E$24</definedName>
    <definedName name="IFTotalCost">'Cost Output by Heating Type'!$G$28</definedName>
    <definedName name="ifwb">'Inputs'!$E$34</definedName>
    <definedName name="InsulationCost">'Inputs'!$V$8</definedName>
    <definedName name="InterestRate">'Inputs'!$C$45</definedName>
    <definedName name="IRdiscount">'Inputs'!$C$46</definedName>
    <definedName name="LandlordCouncilCH">'Inputs'!$M$10</definedName>
    <definedName name="LandlordCouncilCost">'Cost Output by Heating Type'!$D$46</definedName>
    <definedName name="LandlordCouncilinsl">'Inputs'!$M$11</definedName>
    <definedName name="LandlordDiesel">'Inputs'!$G$38</definedName>
    <definedName name="LandlordEECAcost">'Cost Output by Heating Type'!$E$46</definedName>
    <definedName name="LandlordGas">'Inputs'!$G$37</definedName>
    <definedName name="LandlordHHcost">'Cost Output by Heating Type'!$F$46</definedName>
    <definedName name="LandlordHP">'Inputs'!$G$36</definedName>
    <definedName name="LandlordInsl">'Inputs'!$G$25</definedName>
    <definedName name="LandlordInslCHnosub">'Inputs'!$G$19</definedName>
    <definedName name="LandlordinslNoSub">'Inputs'!$G$18</definedName>
    <definedName name="LandlordjustCHnoSub">'Inputs'!$G$17</definedName>
    <definedName name="LandlordJustInsl">'Inputs'!$G$21</definedName>
    <definedName name="LandlordPellet">'Inputs'!$G$35</definedName>
    <definedName name="LandlordProp">'Inputs'!$J$10</definedName>
    <definedName name="LandlordpropCS">'Inputs'!$G$27</definedName>
    <definedName name="LandlordpropCSio">'Inputs'!$G$23</definedName>
    <definedName name="LandlordpropEECA">'Inputs'!$G$26</definedName>
    <definedName name="landlordpropEECAio">'Inputs'!$G$22</definedName>
    <definedName name="LandlordproptenCS">'Inputs'!$G$28</definedName>
    <definedName name="LandlordpropTenIO">'Inputs'!$G$24</definedName>
    <definedName name="LandlordsInslCHnosub">'Inputs'!$G$19</definedName>
    <definedName name="LandlordsJustInsl">'Inputs'!$G$21</definedName>
    <definedName name="LandlordspropCS">'Inputs'!$G$27</definedName>
    <definedName name="LandlordspropCSio">'Inputs'!$G$23</definedName>
    <definedName name="landlordspropEECAio">'Inputs'!$G$22</definedName>
    <definedName name="LandlordsproptenCS">'Inputs'!$G$28</definedName>
    <definedName name="LandlordspropTenIO">'Inputs'!$G$24</definedName>
    <definedName name="Landlordtotalcost">'Cost Output by Heating Type'!$G$46</definedName>
    <definedName name="LandlordWb">'Inputs'!$G$34</definedName>
    <definedName name="PSjustInsl">'Inputs'!$F$21</definedName>
    <definedName name="PSpropCS">'Inputs'!$F$27</definedName>
    <definedName name="PSpropCSio">'Inputs'!$F$23</definedName>
    <definedName name="PSpropEECA">'Inputs'!$F$26</definedName>
    <definedName name="PSpropEECAio">'Inputs'!$F$22</definedName>
    <definedName name="PSproptenCS">'Inputs'!$F$28</definedName>
    <definedName name="psProptenCSio">'Inputs'!$F$24</definedName>
    <definedName name="pSubCouncilCH">'Inputs'!$M$8</definedName>
    <definedName name="PsubCouncilCost">'Cost Output by Heating Type'!$D$37</definedName>
    <definedName name="PsubCouncilInsl">'Inputs'!$M$9</definedName>
    <definedName name="Psubdiesel">'Inputs'!$F$38</definedName>
    <definedName name="PSubEECAcost">'Cost Output by Heating Type'!$E$37</definedName>
    <definedName name="PSubGas">'Inputs'!$F$37</definedName>
    <definedName name="PSubHHcost">'Cost Output by Heating Type'!$F$37</definedName>
    <definedName name="pSUBHP">'Inputs'!$F$36</definedName>
    <definedName name="pSUBinsl">'Inputs'!$F$25</definedName>
    <definedName name="PsubInslCHnosub">'Inputs'!$F$19</definedName>
    <definedName name="pSUBinslnosub">'Inputs'!$F$18</definedName>
    <definedName name="pSubJustCHnoSub">'Inputs'!$F$17</definedName>
    <definedName name="pSubJustinsl">'Cost Output by Heating Type'!#REF!</definedName>
    <definedName name="Psubpellet">'Inputs'!$F$35</definedName>
    <definedName name="PsubProp">'Inputs'!$J$9</definedName>
    <definedName name="PsubTotalCost">'Cost Output by Heating Type'!$G$37</definedName>
    <definedName name="pSUBwb">'Inputs'!$F$34</definedName>
    <definedName name="TenCS">'Inputs'!$Q$14</definedName>
    <definedName name="year0">'IntFreeLoan$NPV'!$G$4</definedName>
    <definedName name="Year1">'IntFreeLoan$NPV'!$H$4</definedName>
    <definedName name="Year10">'IntFreeLoan$NPV'!$Q$4</definedName>
    <definedName name="Year2">'IntFreeLoan$NPV'!$I$4</definedName>
    <definedName name="Year3">'IntFreeLoan$NPV'!$J$4</definedName>
    <definedName name="Year4">'IntFreeLoan$NPV'!$K$4</definedName>
    <definedName name="Year5">'IntFreeLoan$NPV'!$L$4</definedName>
    <definedName name="Year6">'IntFreeLoan$NPV'!$M$4</definedName>
    <definedName name="Year7">'IntFreeLoan$NPV'!$N$4</definedName>
    <definedName name="Year8">'IntFreeLoan$NPV'!$O$4</definedName>
    <definedName name="Year9">'IntFreeLoan$NPV'!$P$4</definedName>
  </definedNames>
  <calcPr fullCalcOnLoad="1"/>
</workbook>
</file>

<file path=xl/sharedStrings.xml><?xml version="1.0" encoding="utf-8"?>
<sst xmlns="http://schemas.openxmlformats.org/spreadsheetml/2006/main" count="321" uniqueCount="156">
  <si>
    <t>Interest free loan</t>
  </si>
  <si>
    <t>Interest Y1</t>
  </si>
  <si>
    <t>Interest Y2</t>
  </si>
  <si>
    <t>Interest Y3</t>
  </si>
  <si>
    <t>10 year repayment</t>
  </si>
  <si>
    <t>Interest Y0</t>
  </si>
  <si>
    <t>Interest Y4</t>
  </si>
  <si>
    <t>Interest Y5</t>
  </si>
  <si>
    <t>Interest Y6</t>
  </si>
  <si>
    <t>Interest Y7</t>
  </si>
  <si>
    <t>Interest Y8</t>
  </si>
  <si>
    <t>Interest Y9</t>
  </si>
  <si>
    <t>Interest Y10</t>
  </si>
  <si>
    <t>Cost to Council - present day value</t>
  </si>
  <si>
    <t>Cost to householder PDV</t>
  </si>
  <si>
    <t xml:space="preserve">Woodburners </t>
  </si>
  <si>
    <t>Pellet</t>
  </si>
  <si>
    <t>Heat Pump</t>
  </si>
  <si>
    <t>Flued gas</t>
  </si>
  <si>
    <t>Diesel Burner</t>
  </si>
  <si>
    <t>Total Cost</t>
  </si>
  <si>
    <t>Capital cost - average installed/consented</t>
  </si>
  <si>
    <t>Type of programme</t>
  </si>
  <si>
    <t>Full subsidy</t>
  </si>
  <si>
    <t>Partial subsidy</t>
  </si>
  <si>
    <t>%</t>
  </si>
  <si>
    <t>Landlords</t>
  </si>
  <si>
    <t>Owned by householder with community services card</t>
  </si>
  <si>
    <t>Owned by landlord but tenant has community services card</t>
  </si>
  <si>
    <t>Default data</t>
  </si>
  <si>
    <t>Insulation</t>
  </si>
  <si>
    <t>All eligible houses built before 2000 and have insufficient insulation.</t>
  </si>
  <si>
    <t>Homeowners who hold Community Services Cards</t>
  </si>
  <si>
    <t>Landlords with tenants who hold Community Services Cards</t>
  </si>
  <si>
    <t>Council cost</t>
  </si>
  <si>
    <t>EECA cost</t>
  </si>
  <si>
    <t>Homeowner cost</t>
  </si>
  <si>
    <t>Total cost</t>
  </si>
  <si>
    <t>Households</t>
  </si>
  <si>
    <t>Interest free</t>
  </si>
  <si>
    <t>Total</t>
  </si>
  <si>
    <t>Council costs Clean Heat Only - no EECA grants- Interest Free Loan</t>
  </si>
  <si>
    <t>Council costs - with EECA grants (no CS) and insulation costs</t>
  </si>
  <si>
    <t>Council costs - with EECA grants (CS homeowner) and insulation costs</t>
  </si>
  <si>
    <t>Council costs - with EECA grants (CS tenant) and insulation costs</t>
  </si>
  <si>
    <t>Homeowners Cost Clean Heat Only - no EECA grants- Interest Free Loan</t>
  </si>
  <si>
    <t>Homeowners costs - with EECA grants (no CS) and insulation costs</t>
  </si>
  <si>
    <t>Upfront Capital cost</t>
  </si>
  <si>
    <t>Homeowners costs - with EECA grants (CS for homeowners) and insulation costs</t>
  </si>
  <si>
    <t>Homeowners costs - with EECA grants (CS for tenants) and insulation costs</t>
  </si>
  <si>
    <t>Council costs - with insulation costs and no EECA grants</t>
  </si>
  <si>
    <t>Homeowners costs - with insulation and no EECA grants</t>
  </si>
  <si>
    <t>Just Insulation</t>
  </si>
  <si>
    <t>Woodburners  (includes just CH and insul + CH)</t>
  </si>
  <si>
    <t>Pellet  (includes just CH and insul + CH)</t>
  </si>
  <si>
    <t>Heat Pump  (includes just CH and insul + CH)</t>
  </si>
  <si>
    <t>Flued gas  (includes just CH and insul + CH)</t>
  </si>
  <si>
    <t>Diesel Burner  (includes just CH and insul + CH)</t>
  </si>
  <si>
    <t>ie no households will just insulate</t>
  </si>
  <si>
    <t>EECA cost (insulation + CH)</t>
  </si>
  <si>
    <t>Partial subsidy Clean Heat</t>
  </si>
  <si>
    <t>Landlord</t>
  </si>
  <si>
    <t>Council incentives programme</t>
  </si>
  <si>
    <t>No EECA funding</t>
  </si>
  <si>
    <t>Insulation and Clean Heat</t>
  </si>
  <si>
    <t>EECA funding</t>
  </si>
  <si>
    <t xml:space="preserve">Total insulation only </t>
  </si>
  <si>
    <t>Split between programmes</t>
  </si>
  <si>
    <t>Council incentives only - No EECA funding</t>
  </si>
  <si>
    <t>Landlord subsidy</t>
  </si>
  <si>
    <t>Assumes Council subsidies are on top of EECA subsidies ie Partial subsidy is from Council and those eligible for EECA get that as well)</t>
  </si>
  <si>
    <t xml:space="preserve">   </t>
  </si>
  <si>
    <t>Landlord subsidy Clean Heat</t>
  </si>
  <si>
    <t>EECA grants</t>
  </si>
  <si>
    <t>Clean Heat</t>
  </si>
  <si>
    <t>Total Council Budget (Excl EECA contribution)</t>
  </si>
  <si>
    <t xml:space="preserve">Council Budget </t>
  </si>
  <si>
    <t>Assumes full subsidy is for insulation and Clean Heat</t>
  </si>
  <si>
    <t>Council Cost</t>
  </si>
  <si>
    <t>Total households</t>
  </si>
  <si>
    <t>Household Numbers</t>
  </si>
  <si>
    <t>Interest Rates</t>
  </si>
  <si>
    <t>Discount Rate for PDV</t>
  </si>
  <si>
    <t>Council loan interest rate (paid by Council or householder)</t>
  </si>
  <si>
    <t>Council Budget $</t>
  </si>
  <si>
    <t>Full subsidy householder contribution</t>
  </si>
  <si>
    <t>Total percentage</t>
  </si>
  <si>
    <t>Council Funding</t>
  </si>
  <si>
    <t>The excel workbook contains five worksheets:</t>
  </si>
  <si>
    <r>
      <t>·</t>
    </r>
    <r>
      <rPr>
        <sz val="7"/>
        <color indexed="8"/>
        <rFont val="Times New Roman"/>
        <family val="1"/>
      </rPr>
      <t xml:space="preserve">         </t>
    </r>
    <r>
      <rPr>
        <sz val="11"/>
        <color theme="1"/>
        <rFont val="Calibri"/>
        <family val="2"/>
      </rPr>
      <t>Instructions – provides instructions on how to use the cost model.</t>
    </r>
  </si>
  <si>
    <r>
      <t>·</t>
    </r>
    <r>
      <rPr>
        <sz val="7"/>
        <color indexed="8"/>
        <rFont val="Times New Roman"/>
        <family val="1"/>
      </rPr>
      <t xml:space="preserve">         </t>
    </r>
    <r>
      <rPr>
        <sz val="11"/>
        <color theme="1"/>
        <rFont val="Calibri"/>
        <family val="2"/>
      </rPr>
      <t>Outputs – contains a summary of the costs or household numbers by programme type.</t>
    </r>
  </si>
  <si>
    <r>
      <t>·</t>
    </r>
    <r>
      <rPr>
        <sz val="7"/>
        <color indexed="8"/>
        <rFont val="Times New Roman"/>
        <family val="1"/>
      </rPr>
      <t xml:space="preserve">         </t>
    </r>
    <r>
      <rPr>
        <sz val="11"/>
        <color theme="1"/>
        <rFont val="Calibri"/>
        <family val="2"/>
      </rPr>
      <t xml:space="preserve">Cost Output by Heating Type – displays a breakdown of the costs by programme type and by heating choice. </t>
    </r>
  </si>
  <si>
    <r>
      <t>·</t>
    </r>
    <r>
      <rPr>
        <sz val="7"/>
        <color indexed="8"/>
        <rFont val="Times New Roman"/>
        <family val="1"/>
      </rPr>
      <t xml:space="preserve">         </t>
    </r>
    <r>
      <rPr>
        <sz val="11"/>
        <color theme="1"/>
        <rFont val="Calibri"/>
        <family val="2"/>
      </rPr>
      <t xml:space="preserve">Interest free loan $NPV – contains the calculations for distributing the cost of an interest free loan by Council and householder. </t>
    </r>
  </si>
  <si>
    <t>Administration cost</t>
  </si>
  <si>
    <t>Maximum subsidy interest free loan</t>
  </si>
  <si>
    <t>Partial subsidy insulation</t>
  </si>
  <si>
    <t>Landlord subsidy insulation</t>
  </si>
  <si>
    <t>Heat pump</t>
  </si>
  <si>
    <t>Diesel burner</t>
  </si>
  <si>
    <t>Clean Heat only</t>
  </si>
  <si>
    <t xml:space="preserve">Insulation only </t>
  </si>
  <si>
    <t>Insulation only - no community services card</t>
  </si>
  <si>
    <t>Insulation only - community services card homeowner</t>
  </si>
  <si>
    <t>Insulation only - tennant has community services card</t>
  </si>
  <si>
    <t>Total insulation and Clean Heat</t>
  </si>
  <si>
    <t>Clean Heat and insulation - no Community Services Card</t>
  </si>
  <si>
    <t>Clean Heat and insulation - Community Services Card homeowner</t>
  </si>
  <si>
    <t>Clean Heat and insulation - Community Services Card tennant</t>
  </si>
  <si>
    <t>Full subsidy Clean Heat</t>
  </si>
  <si>
    <t xml:space="preserve">Applies to just Clean Heat and insulation and Clean Heat </t>
  </si>
  <si>
    <t xml:space="preserve">Table 1.4: Council funding for incentives </t>
  </si>
  <si>
    <t xml:space="preserve">Table 1.5:  Costs  (including Capital Cost, Adminstration and Total Cost) </t>
  </si>
  <si>
    <t>Table 1.1:  Cost Model: Budget model</t>
  </si>
  <si>
    <t>Community services cards</t>
  </si>
  <si>
    <t>Fixed cost to homeowner</t>
  </si>
  <si>
    <t>Fixed homeowner contribution</t>
  </si>
  <si>
    <t>(Use when Council budget is known)</t>
  </si>
  <si>
    <t>Table 1.2: Cost Model: Household number model</t>
  </si>
  <si>
    <t xml:space="preserve"> (Use when input is household number)</t>
  </si>
  <si>
    <t xml:space="preserve">(Use for both models) </t>
  </si>
  <si>
    <t>(Change based on what subsidies Council will offer)</t>
  </si>
  <si>
    <t>(Only change if EECA grants change)</t>
  </si>
  <si>
    <t>Table 1.6: Assumptions on the uptake rate for incentives programmes</t>
  </si>
  <si>
    <t>Table 1.7: Output household numbers</t>
  </si>
  <si>
    <t xml:space="preserve">Table 1.8: EECA grants </t>
  </si>
  <si>
    <t xml:space="preserve">Table 1.9: Community Service Card use by home ownership. </t>
  </si>
  <si>
    <t xml:space="preserve">Table 1.10: Assumptions for the proportion of Clean Heat appliances by incentives programme. </t>
  </si>
  <si>
    <t xml:space="preserve">Table 1.11: Interest rates for interest free loans </t>
  </si>
  <si>
    <r>
      <t>·</t>
    </r>
    <r>
      <rPr>
        <sz val="7"/>
        <color indexed="8"/>
        <rFont val="Times New Roman"/>
        <family val="1"/>
      </rPr>
      <t xml:space="preserve">         </t>
    </r>
    <r>
      <rPr>
        <sz val="11"/>
        <color theme="1"/>
        <rFont val="Calibri"/>
        <family val="2"/>
      </rPr>
      <t xml:space="preserve">Inputs – contains all the data used in the calculations. </t>
    </r>
  </si>
  <si>
    <r>
      <t>5)</t>
    </r>
    <r>
      <rPr>
        <sz val="7"/>
        <color indexed="8"/>
        <rFont val="Times New Roman"/>
        <family val="1"/>
      </rPr>
      <t xml:space="preserve">      </t>
    </r>
    <r>
      <rPr>
        <sz val="11"/>
        <color theme="1"/>
        <rFont val="Calibri"/>
        <family val="2"/>
      </rPr>
      <t xml:space="preserve">Review outputs in “outputs” worksheet to obtain cost of the programme (Table 2.1 in the worksheet) or number of households to target (Table 2.2 in the worksheet).  </t>
    </r>
  </si>
  <si>
    <t>Table 1.3: Council programme split</t>
  </si>
  <si>
    <t>(Only change if Council has better information)</t>
  </si>
  <si>
    <t>(Only change if ESESM is used to give airshed specific information)</t>
  </si>
  <si>
    <r>
      <t>1)</t>
    </r>
    <r>
      <rPr>
        <sz val="7"/>
        <rFont val="Times New Roman"/>
        <family val="1"/>
      </rPr>
      <t xml:space="preserve">      </t>
    </r>
    <r>
      <rPr>
        <sz val="11"/>
        <rFont val="Calibri"/>
        <family val="2"/>
      </rPr>
      <t xml:space="preserve">Enter the Council budget into Cell C6 </t>
    </r>
    <r>
      <rPr>
        <sz val="11"/>
        <rFont val="Calibri"/>
        <family val="2"/>
      </rPr>
      <t>(inputs worksheet)</t>
    </r>
    <r>
      <rPr>
        <sz val="11"/>
        <rFont val="Calibri"/>
        <family val="2"/>
      </rPr>
      <t xml:space="preserve"> or the number of households to be targeted into cell </t>
    </r>
    <r>
      <rPr>
        <sz val="11"/>
        <rFont val="Calibri"/>
        <family val="2"/>
      </rPr>
      <t>F6 (inputs worksheet).</t>
    </r>
    <r>
      <rPr>
        <sz val="11"/>
        <rFont val="Calibri"/>
        <family val="2"/>
      </rPr>
      <t xml:space="preserve"> </t>
    </r>
  </si>
  <si>
    <r>
      <t>4)</t>
    </r>
    <r>
      <rPr>
        <sz val="7"/>
        <rFont val="Times New Roman"/>
        <family val="1"/>
      </rPr>
      <t xml:space="preserve">      </t>
    </r>
    <r>
      <rPr>
        <sz val="11"/>
        <rFont val="Calibri"/>
        <family val="2"/>
      </rPr>
      <t>Check all green shaded cells add</t>
    </r>
    <r>
      <rPr>
        <sz val="11"/>
        <rFont val="Calibri"/>
        <family val="2"/>
      </rPr>
      <t xml:space="preserve"> in inputs worksheet </t>
    </r>
    <r>
      <rPr>
        <sz val="11"/>
        <rFont val="Calibri"/>
        <family val="2"/>
      </rPr>
      <t>to 100%.</t>
    </r>
    <r>
      <rPr>
        <sz val="11"/>
        <rFont val="Calibri"/>
        <family val="2"/>
      </rPr>
      <t xml:space="preserve"> If these do not equal 100% select the green cell and a box will appear advising which cells to change.</t>
    </r>
  </si>
  <si>
    <t>Grants - per household</t>
  </si>
  <si>
    <t>Step by Step Instructions - Note a full description of the cost model can be found in Section 6 and Appendix I of the GPG It is recommended that this information is read carefully before attempting to use the model.</t>
  </si>
  <si>
    <t xml:space="preserve">Table 2.2: Indicative costs for incentives programme </t>
  </si>
  <si>
    <t xml:space="preserve">Table 2 .1: Number of households that could be converted based on incentive programme type. </t>
  </si>
  <si>
    <t>Default parameters</t>
  </si>
  <si>
    <r>
      <t>1.</t>
    </r>
    <r>
      <rPr>
        <sz val="7"/>
        <color indexed="8"/>
        <rFont val="Calibri"/>
        <family val="2"/>
      </rPr>
      <t xml:space="preserve">    </t>
    </r>
    <r>
      <rPr>
        <sz val="11"/>
        <color indexed="8"/>
        <rFont val="Calibri"/>
        <family val="2"/>
      </rPr>
      <t xml:space="preserve">The average cost of insulation and heating choices (cells Q–V, row 6. Table 1.5). </t>
    </r>
  </si>
  <si>
    <r>
      <t>2.</t>
    </r>
    <r>
      <rPr>
        <sz val="7"/>
        <color indexed="8"/>
        <rFont val="Calibri"/>
        <family val="2"/>
      </rPr>
      <t xml:space="preserve">    </t>
    </r>
    <r>
      <rPr>
        <sz val="11"/>
        <color theme="1"/>
        <rFont val="Calibri"/>
        <family val="2"/>
      </rPr>
      <t>The value of the administration component of the programme that is passed on to householders or paid by Council (cells Q–V, row 7. Table 1.5).</t>
    </r>
  </si>
  <si>
    <r>
      <t>3.</t>
    </r>
    <r>
      <rPr>
        <sz val="7"/>
        <color indexed="8"/>
        <rFont val="Calibri"/>
        <family val="2"/>
      </rPr>
      <t xml:space="preserve">    </t>
    </r>
    <r>
      <rPr>
        <sz val="11"/>
        <color theme="1"/>
        <rFont val="Calibri"/>
        <family val="2"/>
      </rPr>
      <t xml:space="preserve">The proportion of full subsidy households eligible for EECA funding and the type of EECA funding (cells C –G rows 43 -47. Table 1.6). </t>
    </r>
  </si>
  <si>
    <r>
      <t>4.</t>
    </r>
    <r>
      <rPr>
        <sz val="7"/>
        <color indexed="8"/>
        <rFont val="Calibri"/>
        <family val="2"/>
      </rPr>
      <t xml:space="preserve">    </t>
    </r>
    <r>
      <rPr>
        <sz val="11"/>
        <color theme="1"/>
        <rFont val="Calibri"/>
        <family val="2"/>
      </rPr>
      <t>Proportion of households with no EECA grants that want insulation only (cells C-G, row 18 -Table 1.6).</t>
    </r>
  </si>
  <si>
    <r>
      <t>5.</t>
    </r>
    <r>
      <rPr>
        <sz val="7"/>
        <color indexed="8"/>
        <rFont val="Calibri"/>
        <family val="2"/>
      </rPr>
      <t xml:space="preserve">    </t>
    </r>
    <r>
      <rPr>
        <sz val="11"/>
        <color theme="1"/>
        <rFont val="Calibri"/>
        <family val="2"/>
      </rPr>
      <t xml:space="preserve">Proportion of households with no EECA grants that want insulation and clean heat (cells C-G, row 19 Table 1.6). </t>
    </r>
  </si>
  <si>
    <r>
      <t>6.</t>
    </r>
    <r>
      <rPr>
        <sz val="7"/>
        <color indexed="8"/>
        <rFont val="Calibri"/>
        <family val="2"/>
      </rPr>
      <t xml:space="preserve">    </t>
    </r>
    <r>
      <rPr>
        <sz val="11"/>
        <color theme="1"/>
        <rFont val="Calibri"/>
        <family val="2"/>
      </rPr>
      <t>The types of heating methods selected by households (cells C–G, rows 34 – 38, Table 1.10).</t>
    </r>
  </si>
  <si>
    <r>
      <t>3)</t>
    </r>
    <r>
      <rPr>
        <sz val="7"/>
        <rFont val="Times New Roman"/>
        <family val="1"/>
      </rPr>
      <t xml:space="preserve">      </t>
    </r>
    <r>
      <rPr>
        <sz val="11"/>
        <rFont val="Calibri"/>
        <family val="2"/>
      </rPr>
      <t xml:space="preserve">Review the default parameters </t>
    </r>
    <r>
      <rPr>
        <sz val="11"/>
        <rFont val="Calibri"/>
        <family val="2"/>
      </rPr>
      <t xml:space="preserve">in the "inputs" sheet </t>
    </r>
    <r>
      <rPr>
        <sz val="11"/>
        <rFont val="Calibri"/>
        <family val="2"/>
      </rPr>
      <t xml:space="preserve">and change as desired.  Default variables are described below.  For more information see Appendix I. </t>
    </r>
  </si>
  <si>
    <t>Blue highlighted cells in the spreadsheet</t>
  </si>
  <si>
    <r>
      <t>·</t>
    </r>
    <r>
      <rPr>
        <sz val="7"/>
        <color indexed="8"/>
        <rFont val="Calibri"/>
        <family val="2"/>
      </rPr>
      <t xml:space="preserve">         </t>
    </r>
    <r>
      <rPr>
        <sz val="11"/>
        <color indexed="8"/>
        <rFont val="Calibri"/>
        <family val="2"/>
      </rPr>
      <t xml:space="preserve">Total council budget (cell C6 – Table 1.1) – this is the total Council budget available for the incentives programme.  </t>
    </r>
  </si>
  <si>
    <r>
      <t>·</t>
    </r>
    <r>
      <rPr>
        <sz val="7"/>
        <color indexed="8"/>
        <rFont val="Calibri"/>
        <family val="2"/>
      </rPr>
      <t xml:space="preserve">         </t>
    </r>
    <r>
      <rPr>
        <sz val="11"/>
        <color theme="1"/>
        <rFont val="Calibri"/>
        <family val="2"/>
      </rPr>
      <t xml:space="preserve">Total household numbers (cell F6- Table 1.2) – this is the total number of households you wish to convert within the incentives programme.  </t>
    </r>
  </si>
  <si>
    <r>
      <t>·</t>
    </r>
    <r>
      <rPr>
        <sz val="7"/>
        <color indexed="8"/>
        <rFont val="Calibri"/>
        <family val="2"/>
      </rPr>
      <t xml:space="preserve">         </t>
    </r>
    <r>
      <rPr>
        <sz val="11"/>
        <color theme="1"/>
        <rFont val="Calibri"/>
        <family val="2"/>
      </rPr>
      <t xml:space="preserve">Council funding for incentives (cells M6– M11 – Table 1.4) – this is the amount of subsidy offered for different incentives programmes. </t>
    </r>
  </si>
  <si>
    <r>
      <t>·</t>
    </r>
    <r>
      <rPr>
        <sz val="7"/>
        <color indexed="8"/>
        <rFont val="Calibri"/>
        <family val="2"/>
      </rPr>
      <t xml:space="preserve">         </t>
    </r>
    <r>
      <rPr>
        <sz val="11"/>
        <color theme="1"/>
        <rFont val="Calibri"/>
        <family val="2"/>
      </rPr>
      <t xml:space="preserve">Community services cardholders use by home ownership (householders) (cell Q13- Table 1.9) – this is the proportion of homeowners that have community services cards. </t>
    </r>
  </si>
  <si>
    <r>
      <t>·</t>
    </r>
    <r>
      <rPr>
        <sz val="7"/>
        <color indexed="8"/>
        <rFont val="Calibri"/>
        <family val="2"/>
      </rPr>
      <t xml:space="preserve">         </t>
    </r>
    <r>
      <rPr>
        <sz val="11"/>
        <color theme="1"/>
        <rFont val="Calibri"/>
        <family val="2"/>
      </rPr>
      <t xml:space="preserve">Community services cardholders use by home ownership (tenanted properties) (cell Q14- Table 1.9) – this is the proportion of tenants that have community services cards. </t>
    </r>
  </si>
  <si>
    <r>
      <t>·</t>
    </r>
    <r>
      <rPr>
        <sz val="7"/>
        <color indexed="8"/>
        <rFont val="Calibri"/>
        <family val="2"/>
      </rPr>
      <t xml:space="preserve">         </t>
    </r>
    <r>
      <rPr>
        <sz val="11"/>
        <color theme="1"/>
        <rFont val="Calibri"/>
        <family val="2"/>
      </rPr>
      <t>Proportion of households with no EECA grants (cells D-G, row 12 – Table 1.6)</t>
    </r>
  </si>
  <si>
    <r>
      <t>·</t>
    </r>
    <r>
      <rPr>
        <sz val="7"/>
        <color indexed="8"/>
        <rFont val="Calibri"/>
        <family val="2"/>
      </rPr>
      <t xml:space="preserve">         </t>
    </r>
    <r>
      <rPr>
        <sz val="11"/>
        <color theme="1"/>
        <rFont val="Calibri"/>
        <family val="2"/>
      </rPr>
      <t xml:space="preserve">The proportion of EECA funded households that want insulation only (cells D-G, row 21 – Table 1.6) </t>
    </r>
  </si>
  <si>
    <r>
      <t>2)</t>
    </r>
    <r>
      <rPr>
        <sz val="7"/>
        <rFont val="Times New Roman"/>
        <family val="1"/>
      </rPr>
      <t xml:space="preserve">      </t>
    </r>
    <r>
      <rPr>
        <sz val="11"/>
        <rFont val="Calibri"/>
        <family val="2"/>
      </rPr>
      <t xml:space="preserve">Enter the data for the blue highlighted cells </t>
    </r>
    <r>
      <rPr>
        <sz val="11"/>
        <rFont val="Calibri"/>
        <family val="2"/>
      </rPr>
      <t>in the inputs worksheet</t>
    </r>
    <r>
      <rPr>
        <sz val="11"/>
        <rFont val="Calibri"/>
        <family val="2"/>
      </rPr>
      <t xml:space="preserve">.  A summary of these are detailed below. Further details of these parameters can be found in Appendix I of the GPG.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</si>
</sst>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45">
    <font>
      <sz val="11"/>
      <color theme="1"/>
      <name val="Calibri"/>
      <family val="2"/>
    </font>
    <font>
      <sz val="11"/>
      <color indexed="8"/>
      <name val="Calibri"/>
      <family val="2"/>
    </font>
    <font>
      <sz val="11"/>
      <color indexed="8"/>
      <name val="Arial Narrow"/>
      <family val="2"/>
    </font>
    <font>
      <sz val="8"/>
      <color indexed="8"/>
      <name val="Arial Narrow"/>
      <family val="2"/>
    </font>
    <font>
      <b/>
      <sz val="14"/>
      <color indexed="8"/>
      <name val="Calibri"/>
      <family val="2"/>
    </font>
    <font>
      <sz val="7"/>
      <color indexed="8"/>
      <name val="Times New Roman"/>
      <family val="1"/>
    </font>
    <font>
      <sz val="11"/>
      <color indexed="8"/>
      <name val="Symbol"/>
      <family val="1"/>
    </font>
    <font>
      <sz val="8"/>
      <name val="Calibri"/>
      <family val="2"/>
    </font>
    <font>
      <sz val="11"/>
      <name val="Calibri"/>
      <family val="2"/>
    </font>
    <font>
      <sz val="7"/>
      <name val="Times New Roman"/>
      <family val="1"/>
    </font>
    <font>
      <b/>
      <sz val="14"/>
      <name val="Calibri"/>
      <family val="2"/>
    </font>
    <font>
      <sz val="11"/>
      <name val="Arial Narrow"/>
      <family val="2"/>
    </font>
    <font>
      <sz val="7"/>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2"/>
        <bgColor indexed="64"/>
      </patternFill>
    </fill>
    <fill>
      <patternFill patternType="solid">
        <fgColor indexed="31"/>
        <bgColor indexed="64"/>
      </patternFill>
    </fill>
    <fill>
      <patternFill patternType="solid">
        <fgColor indexed="11"/>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6">
    <xf numFmtId="0" fontId="0" fillId="0" borderId="0" xfId="0" applyFont="1" applyAlignment="1">
      <alignment/>
    </xf>
    <xf numFmtId="0" fontId="2" fillId="0" borderId="0" xfId="0" applyFont="1" applyAlignment="1">
      <alignment/>
    </xf>
    <xf numFmtId="164" fontId="2" fillId="0" borderId="0" xfId="44" applyNumberFormat="1" applyFont="1" applyBorder="1" applyAlignment="1">
      <alignment/>
    </xf>
    <xf numFmtId="164" fontId="2" fillId="0" borderId="10" xfId="44" applyNumberFormat="1" applyFont="1" applyBorder="1" applyAlignment="1">
      <alignment/>
    </xf>
    <xf numFmtId="1" fontId="2" fillId="0" borderId="10" xfId="0" applyNumberFormat="1" applyFont="1" applyBorder="1" applyAlignment="1">
      <alignment horizontal="center"/>
    </xf>
    <xf numFmtId="0" fontId="2" fillId="0" borderId="0" xfId="0" applyFont="1" applyAlignment="1">
      <alignment horizontal="center"/>
    </xf>
    <xf numFmtId="164" fontId="2" fillId="0" borderId="0" xfId="44" applyNumberFormat="1" applyFont="1" applyAlignment="1">
      <alignment/>
    </xf>
    <xf numFmtId="164" fontId="2" fillId="0" borderId="0" xfId="0" applyNumberFormat="1" applyFont="1" applyAlignment="1">
      <alignment/>
    </xf>
    <xf numFmtId="0" fontId="2" fillId="0" borderId="0" xfId="0" applyFont="1" applyFill="1" applyAlignment="1">
      <alignment/>
    </xf>
    <xf numFmtId="0" fontId="2" fillId="0" borderId="0" xfId="0" applyFont="1" applyBorder="1" applyAlignment="1">
      <alignment horizontal="center"/>
    </xf>
    <xf numFmtId="9" fontId="2" fillId="0" borderId="0" xfId="0" applyNumberFormat="1" applyFont="1" applyBorder="1" applyAlignment="1">
      <alignment horizontal="center"/>
    </xf>
    <xf numFmtId="0" fontId="2" fillId="33" borderId="11" xfId="0" applyFont="1" applyFill="1" applyBorder="1" applyAlignment="1">
      <alignment/>
    </xf>
    <xf numFmtId="0" fontId="2" fillId="33" borderId="12" xfId="0" applyFont="1" applyFill="1" applyBorder="1" applyAlignment="1">
      <alignment horizontal="center"/>
    </xf>
    <xf numFmtId="0" fontId="2" fillId="33" borderId="13" xfId="0" applyFont="1" applyFill="1" applyBorder="1" applyAlignment="1">
      <alignment/>
    </xf>
    <xf numFmtId="0" fontId="2" fillId="33" borderId="12" xfId="0" applyFont="1" applyFill="1" applyBorder="1" applyAlignment="1">
      <alignment/>
    </xf>
    <xf numFmtId="0" fontId="2" fillId="0" borderId="14" xfId="0" applyFont="1" applyBorder="1" applyAlignment="1">
      <alignment/>
    </xf>
    <xf numFmtId="0" fontId="2" fillId="0" borderId="10" xfId="0" applyFont="1" applyBorder="1" applyAlignment="1">
      <alignment/>
    </xf>
    <xf numFmtId="1" fontId="2" fillId="0" borderId="0" xfId="0" applyNumberFormat="1" applyFont="1" applyAlignment="1">
      <alignment horizontal="center"/>
    </xf>
    <xf numFmtId="0" fontId="2" fillId="0" borderId="10" xfId="0" applyFont="1" applyBorder="1" applyAlignment="1">
      <alignment horizontal="center"/>
    </xf>
    <xf numFmtId="0" fontId="2" fillId="0" borderId="0" xfId="0" applyFont="1" applyBorder="1" applyAlignment="1">
      <alignment/>
    </xf>
    <xf numFmtId="0" fontId="2" fillId="33" borderId="14" xfId="0" applyFont="1" applyFill="1" applyBorder="1" applyAlignment="1">
      <alignment/>
    </xf>
    <xf numFmtId="0" fontId="2" fillId="0" borderId="15" xfId="0" applyFont="1" applyBorder="1" applyAlignment="1">
      <alignment/>
    </xf>
    <xf numFmtId="0" fontId="2" fillId="0" borderId="16" xfId="0" applyFont="1" applyBorder="1" applyAlignment="1">
      <alignment/>
    </xf>
    <xf numFmtId="0" fontId="2" fillId="33" borderId="13" xfId="0" applyFont="1" applyFill="1" applyBorder="1" applyAlignment="1">
      <alignment horizontal="center"/>
    </xf>
    <xf numFmtId="0" fontId="2" fillId="33" borderId="0" xfId="0" applyFont="1" applyFill="1" applyBorder="1" applyAlignment="1">
      <alignment/>
    </xf>
    <xf numFmtId="0" fontId="2" fillId="33" borderId="10" xfId="0" applyFont="1" applyFill="1" applyBorder="1" applyAlignment="1">
      <alignment/>
    </xf>
    <xf numFmtId="9" fontId="2" fillId="0" borderId="0" xfId="0" applyNumberFormat="1" applyFont="1" applyBorder="1" applyAlignment="1">
      <alignment/>
    </xf>
    <xf numFmtId="164" fontId="2" fillId="0" borderId="16" xfId="44" applyNumberFormat="1" applyFont="1" applyBorder="1" applyAlignment="1">
      <alignment/>
    </xf>
    <xf numFmtId="0" fontId="2" fillId="0" borderId="0" xfId="0" applyFont="1" applyFill="1" applyBorder="1" applyAlignment="1">
      <alignment/>
    </xf>
    <xf numFmtId="9" fontId="2" fillId="0" borderId="0" xfId="57" applyFont="1" applyBorder="1" applyAlignment="1">
      <alignment horizontal="center"/>
    </xf>
    <xf numFmtId="9" fontId="2" fillId="0" borderId="10" xfId="0" applyNumberFormat="1" applyFont="1" applyBorder="1" applyAlignment="1">
      <alignment horizontal="center"/>
    </xf>
    <xf numFmtId="9" fontId="2" fillId="0" borderId="17" xfId="0" applyNumberFormat="1" applyFont="1" applyBorder="1" applyAlignment="1">
      <alignment horizontal="center"/>
    </xf>
    <xf numFmtId="0" fontId="3" fillId="0" borderId="0" xfId="0" applyFont="1" applyAlignment="1">
      <alignment/>
    </xf>
    <xf numFmtId="9" fontId="2" fillId="0" borderId="0" xfId="57" applyFont="1" applyAlignment="1">
      <alignment horizontal="center"/>
    </xf>
    <xf numFmtId="9" fontId="2" fillId="33" borderId="0" xfId="57" applyFont="1" applyFill="1" applyBorder="1" applyAlignment="1">
      <alignment horizontal="center"/>
    </xf>
    <xf numFmtId="9" fontId="2" fillId="0" borderId="10" xfId="57" applyFont="1" applyBorder="1" applyAlignment="1">
      <alignment horizontal="center"/>
    </xf>
    <xf numFmtId="9" fontId="2" fillId="0" borderId="0" xfId="57" applyFont="1" applyFill="1" applyBorder="1" applyAlignment="1">
      <alignment horizontal="center"/>
    </xf>
    <xf numFmtId="0" fontId="2" fillId="0" borderId="14" xfId="0" applyFont="1" applyBorder="1" applyAlignment="1">
      <alignment horizontal="left" indent="1"/>
    </xf>
    <xf numFmtId="0" fontId="2" fillId="0" borderId="14" xfId="0" applyFont="1" applyBorder="1" applyAlignment="1">
      <alignment horizontal="left"/>
    </xf>
    <xf numFmtId="9" fontId="2" fillId="0" borderId="0" xfId="0" applyNumberFormat="1" applyFont="1" applyAlignment="1">
      <alignment/>
    </xf>
    <xf numFmtId="44" fontId="2" fillId="0" borderId="0" xfId="44" applyFont="1" applyAlignment="1">
      <alignment/>
    </xf>
    <xf numFmtId="43" fontId="2" fillId="0" borderId="0" xfId="42" applyFont="1" applyAlignment="1">
      <alignment/>
    </xf>
    <xf numFmtId="0" fontId="2" fillId="0" borderId="11" xfId="0" applyFont="1" applyBorder="1" applyAlignment="1">
      <alignment/>
    </xf>
    <xf numFmtId="0" fontId="2" fillId="0" borderId="12" xfId="0" applyFont="1" applyBorder="1" applyAlignment="1">
      <alignment/>
    </xf>
    <xf numFmtId="0" fontId="2" fillId="0" borderId="12" xfId="0" applyFont="1" applyBorder="1" applyAlignment="1">
      <alignment horizontal="center"/>
    </xf>
    <xf numFmtId="0" fontId="2" fillId="0" borderId="13" xfId="0" applyFont="1" applyBorder="1" applyAlignment="1">
      <alignment/>
    </xf>
    <xf numFmtId="164" fontId="2" fillId="0" borderId="0" xfId="44" applyNumberFormat="1" applyFont="1" applyBorder="1" applyAlignment="1">
      <alignment horizontal="center"/>
    </xf>
    <xf numFmtId="164" fontId="2" fillId="0" borderId="16" xfId="44" applyNumberFormat="1" applyFont="1" applyBorder="1" applyAlignment="1">
      <alignment horizontal="center"/>
    </xf>
    <xf numFmtId="164" fontId="2" fillId="0" borderId="17" xfId="44" applyNumberFormat="1" applyFont="1" applyBorder="1" applyAlignment="1">
      <alignment horizontal="center"/>
    </xf>
    <xf numFmtId="164" fontId="2" fillId="0" borderId="0" xfId="0" applyNumberFormat="1" applyFont="1" applyBorder="1" applyAlignment="1">
      <alignment horizontal="center"/>
    </xf>
    <xf numFmtId="164" fontId="2" fillId="0" borderId="10" xfId="0" applyNumberFormat="1" applyFont="1" applyBorder="1" applyAlignment="1">
      <alignment/>
    </xf>
    <xf numFmtId="164" fontId="2" fillId="0" borderId="16" xfId="0" applyNumberFormat="1" applyFont="1" applyBorder="1" applyAlignment="1">
      <alignment horizontal="center"/>
    </xf>
    <xf numFmtId="0" fontId="2" fillId="34" borderId="11" xfId="0" applyFont="1" applyFill="1" applyBorder="1" applyAlignment="1">
      <alignment/>
    </xf>
    <xf numFmtId="0" fontId="2" fillId="34" borderId="12" xfId="0" applyFont="1" applyFill="1" applyBorder="1" applyAlignment="1">
      <alignment/>
    </xf>
    <xf numFmtId="0" fontId="2" fillId="34" borderId="12" xfId="0" applyFont="1" applyFill="1" applyBorder="1" applyAlignment="1">
      <alignment horizontal="center"/>
    </xf>
    <xf numFmtId="0" fontId="2" fillId="34" borderId="13" xfId="0" applyFont="1" applyFill="1" applyBorder="1" applyAlignment="1">
      <alignment/>
    </xf>
    <xf numFmtId="0" fontId="2" fillId="34" borderId="14" xfId="0" applyFont="1" applyFill="1" applyBorder="1" applyAlignment="1">
      <alignment/>
    </xf>
    <xf numFmtId="0" fontId="2" fillId="34" borderId="0" xfId="0" applyFont="1" applyFill="1" applyBorder="1" applyAlignment="1">
      <alignment/>
    </xf>
    <xf numFmtId="0" fontId="2" fillId="34" borderId="10" xfId="0" applyFont="1" applyFill="1" applyBorder="1" applyAlignment="1">
      <alignment/>
    </xf>
    <xf numFmtId="43" fontId="2" fillId="0" borderId="14" xfId="42" applyFont="1" applyBorder="1" applyAlignment="1">
      <alignment/>
    </xf>
    <xf numFmtId="43" fontId="2" fillId="0" borderId="0" xfId="42" applyFont="1" applyBorder="1" applyAlignment="1">
      <alignment/>
    </xf>
    <xf numFmtId="44" fontId="2" fillId="0" borderId="10" xfId="44" applyFont="1" applyBorder="1" applyAlignment="1">
      <alignment/>
    </xf>
    <xf numFmtId="44" fontId="2" fillId="0" borderId="17" xfId="44" applyFont="1" applyBorder="1" applyAlignment="1">
      <alignment/>
    </xf>
    <xf numFmtId="0" fontId="2" fillId="0" borderId="13" xfId="0" applyFont="1" applyBorder="1" applyAlignment="1">
      <alignment horizontal="center"/>
    </xf>
    <xf numFmtId="0" fontId="2" fillId="34" borderId="0" xfId="0" applyFont="1" applyFill="1" applyBorder="1" applyAlignment="1">
      <alignment horizontal="center"/>
    </xf>
    <xf numFmtId="0" fontId="2" fillId="34" borderId="10" xfId="0" applyFont="1" applyFill="1" applyBorder="1" applyAlignment="1">
      <alignment horizontal="center"/>
    </xf>
    <xf numFmtId="1" fontId="2" fillId="0" borderId="0" xfId="0" applyNumberFormat="1" applyFont="1" applyBorder="1" applyAlignment="1">
      <alignment horizontal="center"/>
    </xf>
    <xf numFmtId="0" fontId="2" fillId="0" borderId="16" xfId="0" applyFont="1" applyBorder="1" applyAlignment="1">
      <alignment horizontal="center"/>
    </xf>
    <xf numFmtId="1" fontId="2" fillId="0" borderId="16" xfId="0" applyNumberFormat="1" applyFont="1" applyBorder="1" applyAlignment="1">
      <alignment horizontal="center"/>
    </xf>
    <xf numFmtId="1" fontId="2" fillId="0" borderId="17" xfId="0" applyNumberFormat="1" applyFont="1" applyBorder="1" applyAlignment="1">
      <alignment horizontal="center"/>
    </xf>
    <xf numFmtId="0" fontId="2" fillId="34" borderId="13" xfId="0" applyFont="1" applyFill="1" applyBorder="1" applyAlignment="1">
      <alignment horizontal="center"/>
    </xf>
    <xf numFmtId="9" fontId="2" fillId="33" borderId="11" xfId="0" applyNumberFormat="1" applyFont="1" applyFill="1" applyBorder="1" applyAlignment="1">
      <alignment horizontal="center"/>
    </xf>
    <xf numFmtId="9" fontId="2" fillId="33" borderId="13" xfId="0" applyNumberFormat="1" applyFont="1" applyFill="1" applyBorder="1" applyAlignment="1">
      <alignment horizontal="center"/>
    </xf>
    <xf numFmtId="0" fontId="2" fillId="0" borderId="17" xfId="0" applyFont="1" applyFill="1" applyBorder="1" applyAlignment="1">
      <alignment/>
    </xf>
    <xf numFmtId="164" fontId="2" fillId="0" borderId="0" xfId="44" applyNumberFormat="1" applyFont="1" applyFill="1" applyBorder="1" applyAlignment="1">
      <alignment horizontal="center"/>
    </xf>
    <xf numFmtId="164" fontId="2" fillId="0" borderId="0" xfId="44" applyNumberFormat="1" applyFont="1" applyFill="1" applyBorder="1" applyAlignment="1">
      <alignment/>
    </xf>
    <xf numFmtId="164" fontId="2" fillId="0" borderId="10" xfId="44" applyNumberFormat="1" applyFont="1" applyFill="1" applyBorder="1" applyAlignment="1">
      <alignment/>
    </xf>
    <xf numFmtId="164" fontId="2" fillId="0" borderId="0" xfId="0" applyNumberFormat="1" applyFont="1" applyFill="1" applyAlignment="1">
      <alignment/>
    </xf>
    <xf numFmtId="9" fontId="2" fillId="0" borderId="0" xfId="0" applyNumberFormat="1" applyFont="1" applyFill="1" applyBorder="1" applyAlignment="1">
      <alignment horizontal="center"/>
    </xf>
    <xf numFmtId="9" fontId="2" fillId="35" borderId="0" xfId="57" applyFont="1" applyFill="1" applyBorder="1" applyAlignment="1">
      <alignment horizontal="center"/>
    </xf>
    <xf numFmtId="166" fontId="2" fillId="35" borderId="0" xfId="44" applyNumberFormat="1" applyFont="1" applyFill="1" applyBorder="1" applyAlignment="1">
      <alignment horizontal="center"/>
    </xf>
    <xf numFmtId="9" fontId="2" fillId="35" borderId="10" xfId="57" applyFont="1" applyFill="1" applyBorder="1" applyAlignment="1">
      <alignment horizontal="center"/>
    </xf>
    <xf numFmtId="9" fontId="2" fillId="35" borderId="17" xfId="57" applyFont="1" applyFill="1" applyBorder="1" applyAlignment="1">
      <alignment horizontal="center"/>
    </xf>
    <xf numFmtId="165" fontId="2" fillId="0" borderId="10" xfId="0" applyNumberFormat="1" applyFont="1" applyBorder="1" applyAlignment="1">
      <alignment horizontal="center"/>
    </xf>
    <xf numFmtId="164" fontId="2" fillId="0" borderId="10" xfId="44" applyNumberFormat="1" applyFont="1" applyBorder="1" applyAlignment="1">
      <alignment horizontal="center"/>
    </xf>
    <xf numFmtId="0" fontId="2" fillId="0" borderId="10" xfId="0" applyFont="1" applyFill="1" applyBorder="1" applyAlignment="1">
      <alignment/>
    </xf>
    <xf numFmtId="9" fontId="2" fillId="36" borderId="16" xfId="0" applyNumberFormat="1" applyFont="1" applyFill="1" applyBorder="1" applyAlignment="1">
      <alignment horizontal="center"/>
    </xf>
    <xf numFmtId="9" fontId="2" fillId="36" borderId="17" xfId="0" applyNumberFormat="1" applyFont="1" applyFill="1" applyBorder="1" applyAlignment="1">
      <alignment horizontal="center"/>
    </xf>
    <xf numFmtId="0" fontId="2" fillId="0" borderId="15" xfId="0" applyFont="1" applyFill="1" applyBorder="1" applyAlignment="1">
      <alignment/>
    </xf>
    <xf numFmtId="9" fontId="2" fillId="0" borderId="10" xfId="57" applyFont="1" applyFill="1" applyBorder="1" applyAlignment="1">
      <alignment horizontal="center"/>
    </xf>
    <xf numFmtId="0" fontId="0" fillId="37" borderId="0" xfId="0" applyFill="1" applyBorder="1" applyAlignment="1">
      <alignment/>
    </xf>
    <xf numFmtId="0" fontId="2" fillId="0" borderId="0" xfId="0" applyFont="1" applyFill="1" applyBorder="1" applyAlignment="1">
      <alignment horizontal="center"/>
    </xf>
    <xf numFmtId="0" fontId="2" fillId="33" borderId="13" xfId="0" applyFont="1" applyFill="1" applyBorder="1" applyAlignment="1">
      <alignment/>
    </xf>
    <xf numFmtId="166" fontId="2" fillId="35" borderId="10" xfId="44" applyNumberFormat="1" applyFont="1" applyFill="1" applyBorder="1" applyAlignment="1">
      <alignment horizontal="center"/>
    </xf>
    <xf numFmtId="9" fontId="2" fillId="36" borderId="17" xfId="57" applyFont="1" applyFill="1" applyBorder="1" applyAlignment="1">
      <alignment horizontal="center"/>
    </xf>
    <xf numFmtId="0" fontId="2" fillId="0" borderId="17" xfId="0" applyFont="1" applyBorder="1" applyAlignment="1">
      <alignment horizontal="center"/>
    </xf>
    <xf numFmtId="1" fontId="2" fillId="0" borderId="17" xfId="42" applyNumberFormat="1" applyFont="1" applyBorder="1" applyAlignment="1">
      <alignment horizontal="center"/>
    </xf>
    <xf numFmtId="166" fontId="2" fillId="35" borderId="16" xfId="44" applyNumberFormat="1" applyFont="1" applyFill="1" applyBorder="1" applyAlignment="1">
      <alignment horizontal="center"/>
    </xf>
    <xf numFmtId="1" fontId="2" fillId="35" borderId="17" xfId="42" applyNumberFormat="1" applyFont="1" applyFill="1" applyBorder="1" applyAlignment="1">
      <alignment horizontal="center"/>
    </xf>
    <xf numFmtId="0" fontId="2" fillId="0" borderId="17" xfId="0" applyFont="1" applyBorder="1" applyAlignment="1">
      <alignment/>
    </xf>
    <xf numFmtId="164" fontId="2" fillId="0" borderId="16" xfId="44" applyNumberFormat="1" applyFont="1" applyFill="1" applyBorder="1" applyAlignment="1">
      <alignment/>
    </xf>
    <xf numFmtId="164" fontId="2" fillId="0" borderId="17" xfId="44" applyNumberFormat="1" applyFont="1" applyFill="1" applyBorder="1" applyAlignment="1">
      <alignment/>
    </xf>
    <xf numFmtId="1" fontId="2" fillId="0" borderId="17" xfId="0" applyNumberFormat="1" applyFont="1" applyFill="1" applyBorder="1" applyAlignment="1">
      <alignment horizontal="center"/>
    </xf>
    <xf numFmtId="0" fontId="2" fillId="38" borderId="14" xfId="0" applyFont="1" applyFill="1" applyBorder="1" applyAlignment="1">
      <alignment horizontal="left"/>
    </xf>
    <xf numFmtId="0" fontId="2" fillId="38" borderId="15" xfId="0" applyFont="1" applyFill="1" applyBorder="1" applyAlignment="1">
      <alignment horizontal="left"/>
    </xf>
    <xf numFmtId="0" fontId="2" fillId="38" borderId="11" xfId="0" applyFont="1" applyFill="1" applyBorder="1" applyAlignment="1">
      <alignment horizontal="left"/>
    </xf>
    <xf numFmtId="0" fontId="2" fillId="38" borderId="12" xfId="0" applyFont="1" applyFill="1" applyBorder="1" applyAlignment="1">
      <alignment horizontal="center"/>
    </xf>
    <xf numFmtId="0" fontId="2" fillId="38" borderId="12" xfId="0" applyFont="1" applyFill="1" applyBorder="1" applyAlignment="1">
      <alignment horizontal="left"/>
    </xf>
    <xf numFmtId="0" fontId="2" fillId="38" borderId="13" xfId="0" applyFont="1" applyFill="1" applyBorder="1" applyAlignment="1">
      <alignment horizontal="center"/>
    </xf>
    <xf numFmtId="1" fontId="2" fillId="0" borderId="0" xfId="42" applyNumberFormat="1" applyFont="1" applyFill="1" applyBorder="1" applyAlignment="1">
      <alignment horizontal="center"/>
    </xf>
    <xf numFmtId="9" fontId="2" fillId="0" borderId="0" xfId="57" applyFont="1" applyAlignment="1">
      <alignment/>
    </xf>
    <xf numFmtId="0" fontId="0" fillId="0" borderId="0" xfId="0" applyFill="1" applyAlignment="1">
      <alignment/>
    </xf>
    <xf numFmtId="0" fontId="4" fillId="37" borderId="0" xfId="0" applyFont="1" applyFill="1" applyBorder="1" applyAlignment="1">
      <alignment/>
    </xf>
    <xf numFmtId="0" fontId="6" fillId="37" borderId="0" xfId="0" applyFont="1" applyFill="1" applyBorder="1" applyAlignment="1">
      <alignment horizontal="left" indent="5"/>
    </xf>
    <xf numFmtId="0" fontId="0" fillId="37" borderId="0" xfId="0" applyFill="1" applyBorder="1" applyAlignment="1">
      <alignment horizontal="left" indent="5"/>
    </xf>
    <xf numFmtId="0" fontId="8" fillId="37" borderId="0" xfId="0" applyFont="1" applyFill="1" applyBorder="1" applyAlignment="1">
      <alignment horizontal="left" indent="5"/>
    </xf>
    <xf numFmtId="0" fontId="0" fillId="37" borderId="0" xfId="0" applyFont="1" applyFill="1" applyBorder="1" applyAlignment="1">
      <alignment horizontal="left" indent="5"/>
    </xf>
    <xf numFmtId="0" fontId="10" fillId="37" borderId="0" xfId="0" applyFont="1" applyFill="1" applyBorder="1" applyAlignment="1">
      <alignment/>
    </xf>
    <xf numFmtId="0" fontId="11" fillId="0" borderId="0" xfId="0" applyFont="1" applyAlignment="1">
      <alignment/>
    </xf>
    <xf numFmtId="0" fontId="11" fillId="33" borderId="11" xfId="0" applyFont="1" applyFill="1" applyBorder="1" applyAlignment="1">
      <alignment/>
    </xf>
    <xf numFmtId="0" fontId="0" fillId="37" borderId="0" xfId="0" applyFont="1" applyFill="1" applyBorder="1" applyAlignment="1">
      <alignment/>
    </xf>
    <xf numFmtId="0" fontId="0" fillId="0" borderId="0" xfId="0" applyFont="1" applyAlignment="1">
      <alignment/>
    </xf>
    <xf numFmtId="0" fontId="43" fillId="37" borderId="0" xfId="0" applyFont="1" applyFill="1" applyBorder="1" applyAlignment="1">
      <alignment horizontal="left"/>
    </xf>
    <xf numFmtId="0" fontId="43" fillId="37" borderId="0" xfId="0" applyFont="1" applyFill="1" applyBorder="1" applyAlignment="1">
      <alignment/>
    </xf>
    <xf numFmtId="0" fontId="0" fillId="8" borderId="0" xfId="0" applyFill="1" applyBorder="1" applyAlignment="1">
      <alignment/>
    </xf>
    <xf numFmtId="0" fontId="0" fillId="8"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51"/>
  <sheetViews>
    <sheetView zoomScalePageLayoutView="0" workbookViewId="0" topLeftCell="A5">
      <selection activeCell="K26" sqref="K26"/>
    </sheetView>
  </sheetViews>
  <sheetFormatPr defaultColWidth="9.140625" defaultRowHeight="15"/>
  <sheetData>
    <row r="1" spans="1:29" ht="15">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row>
    <row r="2" spans="1:29" ht="18.75">
      <c r="A2" s="112" t="s">
        <v>88</v>
      </c>
      <c r="B2" s="112"/>
      <c r="C2" s="112"/>
      <c r="D2" s="112"/>
      <c r="E2" s="112"/>
      <c r="F2" s="90"/>
      <c r="G2" s="90"/>
      <c r="H2" s="90"/>
      <c r="I2" s="90"/>
      <c r="J2" s="90"/>
      <c r="K2" s="90"/>
      <c r="L2" s="90"/>
      <c r="M2" s="90"/>
      <c r="N2" s="90"/>
      <c r="O2" s="90"/>
      <c r="P2" s="90"/>
      <c r="Q2" s="90"/>
      <c r="R2" s="90"/>
      <c r="S2" s="90"/>
      <c r="T2" s="90"/>
      <c r="U2" s="90"/>
      <c r="V2" s="90"/>
      <c r="W2" s="90"/>
      <c r="X2" s="90"/>
      <c r="Y2" s="90"/>
      <c r="Z2" s="90"/>
      <c r="AA2" s="90"/>
      <c r="AB2" s="90"/>
      <c r="AC2" s="90"/>
    </row>
    <row r="3" spans="1:29" ht="15">
      <c r="A3" s="90" t="s">
        <v>88</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row>
    <row r="4" spans="1:29" ht="15">
      <c r="A4" s="113" t="s">
        <v>89</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row>
    <row r="5" spans="1:29" ht="15">
      <c r="A5" s="113" t="s">
        <v>128</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row>
    <row r="6" spans="1:29" ht="15">
      <c r="A6" s="113" t="s">
        <v>90</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row>
    <row r="7" spans="1:29" ht="15">
      <c r="A7" s="113" t="s">
        <v>91</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row>
    <row r="8" spans="1:29" ht="15">
      <c r="A8" s="113" t="s">
        <v>92</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row>
    <row r="9" spans="1:29" ht="18.75">
      <c r="A9" s="117" t="s">
        <v>136</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row>
    <row r="10" spans="1:29" ht="15">
      <c r="A10" s="115" t="s">
        <v>133</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row>
    <row r="11" spans="1:29" ht="15">
      <c r="A11" s="115" t="s">
        <v>155</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row>
    <row r="12" spans="1:29" ht="15">
      <c r="A12" s="115" t="s">
        <v>146</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row>
    <row r="13" spans="1:29" ht="15">
      <c r="A13" s="115" t="s">
        <v>134</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row>
    <row r="14" spans="1:29" ht="15">
      <c r="A14" s="114" t="s">
        <v>129</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row>
    <row r="15" spans="1:29" s="125" customFormat="1" ht="15">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row>
    <row r="16" spans="1:29" s="121" customFormat="1" ht="15">
      <c r="A16" s="122" t="s">
        <v>139</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row>
    <row r="17" spans="1:29" s="121" customFormat="1" ht="15">
      <c r="A17" s="116"/>
      <c r="B17" s="120" t="s">
        <v>140</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row>
    <row r="18" spans="1:29" s="121" customFormat="1" ht="15">
      <c r="A18" s="116"/>
      <c r="B18" s="120" t="s">
        <v>141</v>
      </c>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row>
    <row r="19" spans="1:29" s="121" customFormat="1" ht="15">
      <c r="A19" s="116"/>
      <c r="B19" s="120" t="s">
        <v>142</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row>
    <row r="20" spans="1:29" s="121" customFormat="1" ht="15">
      <c r="A20" s="116"/>
      <c r="B20" s="120" t="s">
        <v>143</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row>
    <row r="21" spans="1:29" s="121" customFormat="1" ht="15">
      <c r="A21" s="116"/>
      <c r="B21" s="120" t="s">
        <v>144</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row>
    <row r="22" spans="1:29" s="121" customFormat="1" ht="15">
      <c r="A22" s="116"/>
      <c r="B22" s="120" t="s">
        <v>145</v>
      </c>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row>
    <row r="23" spans="1:29" s="121" customFormat="1" ht="15">
      <c r="A23" s="116"/>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row>
    <row r="24" spans="1:29" s="121" customFormat="1" ht="15">
      <c r="A24" s="123" t="s">
        <v>147</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row>
    <row r="25" spans="1:29" s="121" customFormat="1" ht="15">
      <c r="A25" s="116" t="s">
        <v>148</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row>
    <row r="26" spans="1:29" s="121" customFormat="1" ht="15">
      <c r="A26" s="116" t="s">
        <v>149</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row>
    <row r="27" spans="1:29" s="121" customFormat="1" ht="15">
      <c r="A27" s="116" t="s">
        <v>150</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row>
    <row r="28" spans="1:29" s="121" customFormat="1" ht="15">
      <c r="A28" s="116" t="s">
        <v>151</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row>
    <row r="29" spans="1:29" s="121" customFormat="1" ht="15">
      <c r="A29" s="116" t="s">
        <v>152</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row>
    <row r="30" spans="1:29" s="121" customFormat="1" ht="15">
      <c r="A30" s="116" t="s">
        <v>153</v>
      </c>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row>
    <row r="31" spans="1:29" s="121" customFormat="1" ht="15">
      <c r="A31" s="116" t="s">
        <v>154</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row>
    <row r="32" spans="1:29" ht="15">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row>
    <row r="33" spans="1:29" ht="15">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row>
    <row r="34" spans="1:29" ht="15">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row>
    <row r="35" spans="1:29" ht="15">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row>
    <row r="36" spans="1:29" ht="15">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row>
    <row r="37" spans="1:29" ht="15">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row>
    <row r="38" spans="1:29" ht="15">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row>
    <row r="39" spans="1:29" ht="15">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row>
    <row r="40" spans="1:29" ht="15">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row>
    <row r="41" spans="1:29" ht="15">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row>
    <row r="42" spans="1:29" ht="15">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row>
    <row r="43" spans="1:29" ht="15">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row>
    <row r="44" spans="1:18" ht="15">
      <c r="A44" s="90"/>
      <c r="B44" s="90"/>
      <c r="C44" s="90"/>
      <c r="D44" s="90"/>
      <c r="E44" s="90"/>
      <c r="F44" s="90"/>
      <c r="G44" s="90"/>
      <c r="H44" s="90"/>
      <c r="I44" s="90"/>
      <c r="J44" s="90"/>
      <c r="K44" s="90"/>
      <c r="L44" s="90"/>
      <c r="M44" s="90"/>
      <c r="N44" s="90"/>
      <c r="O44" s="90"/>
      <c r="P44" s="90"/>
      <c r="Q44" s="90"/>
      <c r="R44" s="90"/>
    </row>
    <row r="45" spans="1:18" ht="15">
      <c r="A45" s="111"/>
      <c r="B45" s="111"/>
      <c r="C45" s="111"/>
      <c r="D45" s="111"/>
      <c r="E45" s="111"/>
      <c r="F45" s="111"/>
      <c r="G45" s="111"/>
      <c r="H45" s="111"/>
      <c r="I45" s="111"/>
      <c r="J45" s="111"/>
      <c r="K45" s="111"/>
      <c r="L45" s="111"/>
      <c r="M45" s="111"/>
      <c r="N45" s="111"/>
      <c r="O45" s="111"/>
      <c r="P45" s="111"/>
      <c r="Q45" s="111"/>
      <c r="R45" s="111"/>
    </row>
    <row r="46" spans="1:18" ht="15">
      <c r="A46" s="111"/>
      <c r="B46" s="111"/>
      <c r="C46" s="111"/>
      <c r="D46" s="111"/>
      <c r="E46" s="111"/>
      <c r="F46" s="111"/>
      <c r="G46" s="111"/>
      <c r="H46" s="111"/>
      <c r="I46" s="111"/>
      <c r="J46" s="111"/>
      <c r="K46" s="111"/>
      <c r="L46" s="111"/>
      <c r="M46" s="111"/>
      <c r="N46" s="111"/>
      <c r="O46" s="111"/>
      <c r="P46" s="111"/>
      <c r="Q46" s="111"/>
      <c r="R46" s="111"/>
    </row>
    <row r="47" spans="1:18" ht="15">
      <c r="A47" s="111"/>
      <c r="B47" s="111"/>
      <c r="C47" s="111"/>
      <c r="D47" s="111"/>
      <c r="E47" s="111"/>
      <c r="F47" s="111"/>
      <c r="G47" s="111"/>
      <c r="H47" s="111"/>
      <c r="I47" s="111"/>
      <c r="J47" s="111"/>
      <c r="K47" s="111"/>
      <c r="L47" s="111"/>
      <c r="M47" s="111"/>
      <c r="N47" s="111"/>
      <c r="O47" s="111"/>
      <c r="P47" s="111"/>
      <c r="Q47" s="111"/>
      <c r="R47" s="111"/>
    </row>
    <row r="48" spans="1:18" ht="15">
      <c r="A48" s="111"/>
      <c r="B48" s="111"/>
      <c r="C48" s="111"/>
      <c r="D48" s="111"/>
      <c r="E48" s="111"/>
      <c r="F48" s="111"/>
      <c r="G48" s="111"/>
      <c r="H48" s="111"/>
      <c r="I48" s="111"/>
      <c r="J48" s="111"/>
      <c r="K48" s="111"/>
      <c r="L48" s="111"/>
      <c r="M48" s="111"/>
      <c r="N48" s="111"/>
      <c r="O48" s="111"/>
      <c r="P48" s="111"/>
      <c r="Q48" s="111"/>
      <c r="R48" s="111"/>
    </row>
    <row r="49" spans="1:18" ht="15">
      <c r="A49" s="111"/>
      <c r="B49" s="111"/>
      <c r="C49" s="111"/>
      <c r="D49" s="111"/>
      <c r="E49" s="111"/>
      <c r="F49" s="111"/>
      <c r="G49" s="111"/>
      <c r="H49" s="111"/>
      <c r="I49" s="111"/>
      <c r="J49" s="111"/>
      <c r="K49" s="111"/>
      <c r="L49" s="111"/>
      <c r="M49" s="111"/>
      <c r="N49" s="111"/>
      <c r="O49" s="111"/>
      <c r="P49" s="111"/>
      <c r="Q49" s="111"/>
      <c r="R49" s="111"/>
    </row>
    <row r="50" spans="1:18" ht="15">
      <c r="A50" s="111"/>
      <c r="B50" s="111"/>
      <c r="C50" s="111"/>
      <c r="D50" s="111"/>
      <c r="E50" s="111"/>
      <c r="F50" s="111"/>
      <c r="G50" s="111"/>
      <c r="H50" s="111"/>
      <c r="I50" s="111"/>
      <c r="J50" s="111"/>
      <c r="K50" s="111"/>
      <c r="L50" s="111"/>
      <c r="M50" s="111"/>
      <c r="N50" s="111"/>
      <c r="O50" s="111"/>
      <c r="P50" s="111"/>
      <c r="Q50" s="111"/>
      <c r="R50" s="111"/>
    </row>
    <row r="51" spans="1:18" ht="15">
      <c r="A51" s="111"/>
      <c r="B51" s="111"/>
      <c r="C51" s="111"/>
      <c r="D51" s="111"/>
      <c r="E51" s="111"/>
      <c r="F51" s="111"/>
      <c r="G51" s="111"/>
      <c r="H51" s="111"/>
      <c r="I51" s="111"/>
      <c r="J51" s="111"/>
      <c r="K51" s="111"/>
      <c r="L51" s="111"/>
      <c r="M51" s="111"/>
      <c r="N51" s="111"/>
      <c r="O51" s="111"/>
      <c r="P51" s="111"/>
      <c r="Q51" s="111"/>
      <c r="R51" s="111"/>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V50"/>
  <sheetViews>
    <sheetView tabSelected="1" zoomScalePageLayoutView="0" workbookViewId="0" topLeftCell="A1">
      <selection activeCell="G7" sqref="G7"/>
    </sheetView>
  </sheetViews>
  <sheetFormatPr defaultColWidth="9.140625" defaultRowHeight="15"/>
  <cols>
    <col min="1" max="1" width="9.140625" style="1" customWidth="1"/>
    <col min="2" max="2" width="21.00390625" style="1" customWidth="1"/>
    <col min="3" max="3" width="14.57421875" style="1" customWidth="1"/>
    <col min="4" max="4" width="11.421875" style="1" customWidth="1"/>
    <col min="5" max="6" width="11.140625" style="1" customWidth="1"/>
    <col min="7" max="7" width="14.140625" style="1" customWidth="1"/>
    <col min="8" max="8" width="10.28125" style="1" customWidth="1"/>
    <col min="9" max="9" width="18.8515625" style="1" customWidth="1"/>
    <col min="10" max="10" width="10.57421875" style="1" customWidth="1"/>
    <col min="11" max="11" width="6.00390625" style="1" customWidth="1"/>
    <col min="12" max="12" width="18.8515625" style="1" customWidth="1"/>
    <col min="13" max="13" width="11.28125" style="1" customWidth="1"/>
    <col min="14" max="14" width="9.7109375" style="1" customWidth="1"/>
    <col min="15" max="15" width="6.57421875" style="1" customWidth="1"/>
    <col min="16" max="16" width="24.7109375" style="1" customWidth="1"/>
    <col min="17" max="17" width="14.7109375" style="1" customWidth="1"/>
    <col min="18" max="18" width="9.140625" style="1" customWidth="1"/>
    <col min="19" max="19" width="10.00390625" style="1" customWidth="1"/>
    <col min="20" max="20" width="9.140625" style="1" customWidth="1"/>
    <col min="21" max="21" width="12.28125" style="1" customWidth="1"/>
    <col min="22" max="16384" width="9.140625" style="1" customWidth="1"/>
  </cols>
  <sheetData>
    <row r="2" ht="16.5">
      <c r="C2" s="9"/>
    </row>
    <row r="3" spans="2:16" ht="18" customHeight="1">
      <c r="B3" s="1" t="s">
        <v>112</v>
      </c>
      <c r="E3" s="1" t="s">
        <v>117</v>
      </c>
      <c r="I3" s="1" t="s">
        <v>130</v>
      </c>
      <c r="L3" s="1" t="s">
        <v>110</v>
      </c>
      <c r="N3" s="10"/>
      <c r="P3" s="1" t="s">
        <v>111</v>
      </c>
    </row>
    <row r="4" spans="2:16" ht="18" customHeight="1" thickBot="1">
      <c r="B4" s="1" t="s">
        <v>116</v>
      </c>
      <c r="E4" s="1" t="s">
        <v>118</v>
      </c>
      <c r="I4" s="1" t="s">
        <v>119</v>
      </c>
      <c r="L4" s="1" t="s">
        <v>120</v>
      </c>
      <c r="P4" s="118" t="s">
        <v>131</v>
      </c>
    </row>
    <row r="5" spans="2:22" ht="19.5" customHeight="1">
      <c r="B5" s="11" t="s">
        <v>76</v>
      </c>
      <c r="C5" s="92" t="s">
        <v>84</v>
      </c>
      <c r="E5" s="11"/>
      <c r="F5" s="13" t="s">
        <v>38</v>
      </c>
      <c r="G5" s="28"/>
      <c r="I5" s="11" t="s">
        <v>22</v>
      </c>
      <c r="J5" s="23" t="s">
        <v>25</v>
      </c>
      <c r="L5" s="119" t="s">
        <v>135</v>
      </c>
      <c r="M5" s="14" t="s">
        <v>87</v>
      </c>
      <c r="N5" s="13"/>
      <c r="P5" s="11"/>
      <c r="Q5" s="14" t="s">
        <v>15</v>
      </c>
      <c r="R5" s="14" t="s">
        <v>16</v>
      </c>
      <c r="S5" s="14" t="s">
        <v>97</v>
      </c>
      <c r="T5" s="14" t="s">
        <v>18</v>
      </c>
      <c r="U5" s="14" t="s">
        <v>98</v>
      </c>
      <c r="V5" s="13" t="s">
        <v>30</v>
      </c>
    </row>
    <row r="6" spans="2:22" ht="18.75" customHeight="1" thickBot="1">
      <c r="B6" s="15" t="s">
        <v>75</v>
      </c>
      <c r="C6" s="93">
        <v>0</v>
      </c>
      <c r="E6" s="21" t="s">
        <v>40</v>
      </c>
      <c r="F6" s="98">
        <v>200</v>
      </c>
      <c r="G6" s="109"/>
      <c r="I6" s="15" t="s">
        <v>23</v>
      </c>
      <c r="J6" s="81">
        <v>0.25</v>
      </c>
      <c r="L6" s="15" t="s">
        <v>115</v>
      </c>
      <c r="M6" s="80">
        <v>500</v>
      </c>
      <c r="N6" s="16"/>
      <c r="P6" s="15" t="s">
        <v>21</v>
      </c>
      <c r="Q6" s="28">
        <v>4000</v>
      </c>
      <c r="R6" s="28">
        <v>4500</v>
      </c>
      <c r="S6" s="28">
        <v>3000</v>
      </c>
      <c r="T6" s="28">
        <v>3500</v>
      </c>
      <c r="U6" s="28">
        <v>4200</v>
      </c>
      <c r="V6" s="85">
        <v>2500</v>
      </c>
    </row>
    <row r="7" spans="2:22" ht="18.75" customHeight="1" thickBot="1">
      <c r="B7" s="21" t="s">
        <v>79</v>
      </c>
      <c r="C7" s="96">
        <f>$C$6/Outputs!C10*F6</f>
        <v>0</v>
      </c>
      <c r="D7" s="19"/>
      <c r="E7" s="19"/>
      <c r="F7" s="9"/>
      <c r="G7" s="9"/>
      <c r="H7" s="19"/>
      <c r="I7" s="15" t="s">
        <v>114</v>
      </c>
      <c r="J7" s="81">
        <v>0.25</v>
      </c>
      <c r="L7" s="15" t="s">
        <v>94</v>
      </c>
      <c r="M7" s="80">
        <v>5000</v>
      </c>
      <c r="N7" s="16"/>
      <c r="P7" s="15" t="s">
        <v>93</v>
      </c>
      <c r="Q7" s="28">
        <v>400</v>
      </c>
      <c r="R7" s="28">
        <f>AdminCost</f>
        <v>400</v>
      </c>
      <c r="S7" s="28">
        <f>AdminCost</f>
        <v>400</v>
      </c>
      <c r="T7" s="28">
        <f>AdminCost</f>
        <v>400</v>
      </c>
      <c r="U7" s="28">
        <f>AdminCost</f>
        <v>400</v>
      </c>
      <c r="V7" s="85"/>
    </row>
    <row r="8" spans="4:22" ht="18.75" customHeight="1" thickBot="1">
      <c r="D8" s="19"/>
      <c r="I8" s="15" t="s">
        <v>0</v>
      </c>
      <c r="J8" s="81">
        <v>0</v>
      </c>
      <c r="L8" s="15" t="s">
        <v>60</v>
      </c>
      <c r="M8" s="80">
        <v>500</v>
      </c>
      <c r="N8" s="16"/>
      <c r="P8" s="21" t="s">
        <v>20</v>
      </c>
      <c r="Q8" s="22">
        <f>SUM(Q6:Q7)</f>
        <v>4400</v>
      </c>
      <c r="R8" s="22">
        <f>SUM(R6:R7)</f>
        <v>4900</v>
      </c>
      <c r="S8" s="22">
        <f>SUM(S6:S7)</f>
        <v>3400</v>
      </c>
      <c r="T8" s="22">
        <f>SUM(T6:T7)</f>
        <v>3900</v>
      </c>
      <c r="U8" s="22">
        <f>SUM(U6:U7)</f>
        <v>4600</v>
      </c>
      <c r="V8" s="73">
        <f>V6</f>
        <v>2500</v>
      </c>
    </row>
    <row r="9" spans="4:14" ht="16.5">
      <c r="D9" s="19"/>
      <c r="I9" s="15" t="s">
        <v>24</v>
      </c>
      <c r="J9" s="81">
        <v>0.25</v>
      </c>
      <c r="L9" s="15" t="s">
        <v>95</v>
      </c>
      <c r="M9" s="80">
        <v>0</v>
      </c>
      <c r="N9" s="16"/>
    </row>
    <row r="10" spans="2:16" ht="17.25" thickBot="1">
      <c r="B10" s="1" t="s">
        <v>122</v>
      </c>
      <c r="C10" s="33"/>
      <c r="I10" s="15" t="s">
        <v>69</v>
      </c>
      <c r="J10" s="81">
        <v>0.25</v>
      </c>
      <c r="L10" s="15" t="s">
        <v>72</v>
      </c>
      <c r="M10" s="80">
        <v>500</v>
      </c>
      <c r="N10" s="16"/>
      <c r="P10" s="1" t="s">
        <v>125</v>
      </c>
    </row>
    <row r="11" spans="2:16" ht="17.25" thickBot="1">
      <c r="B11" s="11" t="s">
        <v>67</v>
      </c>
      <c r="C11" s="14" t="s">
        <v>23</v>
      </c>
      <c r="D11" s="14" t="s">
        <v>114</v>
      </c>
      <c r="E11" s="14" t="s">
        <v>0</v>
      </c>
      <c r="F11" s="14" t="s">
        <v>24</v>
      </c>
      <c r="G11" s="13" t="s">
        <v>69</v>
      </c>
      <c r="I11" s="88" t="s">
        <v>40</v>
      </c>
      <c r="J11" s="94">
        <f>SUM(J6:J10)</f>
        <v>1</v>
      </c>
      <c r="L11" s="21" t="s">
        <v>96</v>
      </c>
      <c r="M11" s="97">
        <v>0</v>
      </c>
      <c r="N11" s="99"/>
      <c r="P11" s="118" t="s">
        <v>132</v>
      </c>
    </row>
    <row r="12" spans="2:17" ht="16.5">
      <c r="B12" s="15" t="s">
        <v>68</v>
      </c>
      <c r="C12" s="36">
        <v>0</v>
      </c>
      <c r="D12" s="79">
        <v>0.3</v>
      </c>
      <c r="E12" s="79">
        <v>0.3</v>
      </c>
      <c r="F12" s="79">
        <v>0.3</v>
      </c>
      <c r="G12" s="81">
        <v>0.3</v>
      </c>
      <c r="L12" s="43"/>
      <c r="M12" s="43"/>
      <c r="N12" s="43"/>
      <c r="P12" s="11" t="s">
        <v>113</v>
      </c>
      <c r="Q12" s="23" t="s">
        <v>29</v>
      </c>
    </row>
    <row r="13" spans="2:17" ht="16.5">
      <c r="B13" s="15" t="s">
        <v>65</v>
      </c>
      <c r="C13" s="36">
        <v>1</v>
      </c>
      <c r="D13" s="36">
        <f>1-D12</f>
        <v>0.7</v>
      </c>
      <c r="E13" s="36">
        <f>1-E12</f>
        <v>0.7</v>
      </c>
      <c r="F13" s="36">
        <f>1-F12</f>
        <v>0.7</v>
      </c>
      <c r="G13" s="89">
        <f>1-G12</f>
        <v>0.7</v>
      </c>
      <c r="I13" s="1" t="s">
        <v>123</v>
      </c>
      <c r="L13" s="1" t="s">
        <v>124</v>
      </c>
      <c r="P13" s="15" t="s">
        <v>27</v>
      </c>
      <c r="Q13" s="81">
        <v>0.35</v>
      </c>
    </row>
    <row r="14" spans="2:17" ht="17.25" thickBot="1">
      <c r="B14" s="15"/>
      <c r="C14" s="29"/>
      <c r="D14" s="29"/>
      <c r="E14" s="19"/>
      <c r="F14" s="19"/>
      <c r="G14" s="16"/>
      <c r="L14" s="1" t="s">
        <v>121</v>
      </c>
      <c r="P14" s="21" t="s">
        <v>28</v>
      </c>
      <c r="Q14" s="82">
        <v>0.48</v>
      </c>
    </row>
    <row r="15" spans="2:14" ht="16.5">
      <c r="B15" s="11" t="s">
        <v>62</v>
      </c>
      <c r="C15" s="14" t="s">
        <v>23</v>
      </c>
      <c r="D15" s="14" t="s">
        <v>114</v>
      </c>
      <c r="E15" s="14" t="s">
        <v>0</v>
      </c>
      <c r="F15" s="14" t="s">
        <v>24</v>
      </c>
      <c r="G15" s="13" t="s">
        <v>26</v>
      </c>
      <c r="I15" s="11" t="s">
        <v>22</v>
      </c>
      <c r="J15" s="23"/>
      <c r="L15" s="11" t="s">
        <v>73</v>
      </c>
      <c r="M15" s="14" t="s">
        <v>30</v>
      </c>
      <c r="N15" s="13" t="s">
        <v>74</v>
      </c>
    </row>
    <row r="16" spans="2:14" ht="16.5">
      <c r="B16" s="20" t="s">
        <v>63</v>
      </c>
      <c r="C16" s="34"/>
      <c r="D16" s="34"/>
      <c r="E16" s="24"/>
      <c r="F16" s="24"/>
      <c r="G16" s="25"/>
      <c r="I16" s="15" t="s">
        <v>23</v>
      </c>
      <c r="J16" s="18">
        <f>F$6*FSprop</f>
        <v>50</v>
      </c>
      <c r="L16" s="15" t="s">
        <v>31</v>
      </c>
      <c r="M16" s="46">
        <f>IF(33%*InsulationCost&gt;1300,1300,33%*InsulationCost)</f>
        <v>825</v>
      </c>
      <c r="N16" s="84">
        <v>500</v>
      </c>
    </row>
    <row r="17" spans="2:14" ht="16.5">
      <c r="B17" s="15" t="s">
        <v>99</v>
      </c>
      <c r="C17" s="36">
        <f>1-FullSubInsl</f>
        <v>0</v>
      </c>
      <c r="D17" s="36">
        <f>D12-SUM(D18:D19)</f>
        <v>0.3</v>
      </c>
      <c r="E17" s="36">
        <f>E12-SUM(E18:E19)</f>
        <v>0.3</v>
      </c>
      <c r="F17" s="36">
        <f>F12-SUM(F18:F19)</f>
        <v>0.3</v>
      </c>
      <c r="G17" s="89">
        <f>G12-SUM(G18:G19)</f>
        <v>0.3</v>
      </c>
      <c r="I17" s="15" t="s">
        <v>114</v>
      </c>
      <c r="J17" s="18">
        <f>F$6*FSHCprop</f>
        <v>50</v>
      </c>
      <c r="L17" s="15" t="s">
        <v>32</v>
      </c>
      <c r="M17" s="46">
        <f>60%*InsulationCost</f>
        <v>1500</v>
      </c>
      <c r="N17" s="84">
        <v>1200</v>
      </c>
    </row>
    <row r="18" spans="2:14" ht="17.25" thickBot="1">
      <c r="B18" s="15" t="s">
        <v>100</v>
      </c>
      <c r="C18" s="36">
        <f>FullSubInsl-SUM(C26:C28)</f>
        <v>0</v>
      </c>
      <c r="D18" s="36">
        <v>0</v>
      </c>
      <c r="E18" s="36">
        <v>0</v>
      </c>
      <c r="F18" s="36">
        <v>0</v>
      </c>
      <c r="G18" s="89">
        <v>0</v>
      </c>
      <c r="I18" s="15" t="s">
        <v>0</v>
      </c>
      <c r="J18" s="18">
        <f>F$6*IFprop</f>
        <v>0</v>
      </c>
      <c r="L18" s="21" t="s">
        <v>33</v>
      </c>
      <c r="M18" s="47">
        <f>60%*InsulationCost</f>
        <v>1500</v>
      </c>
      <c r="N18" s="48">
        <v>500</v>
      </c>
    </row>
    <row r="19" spans="2:10" ht="16.5">
      <c r="B19" s="15" t="s">
        <v>64</v>
      </c>
      <c r="C19" s="36">
        <f>FullSubInsl-SUM(C27:C28)</f>
        <v>0</v>
      </c>
      <c r="D19" s="36">
        <v>0</v>
      </c>
      <c r="E19" s="36">
        <v>0</v>
      </c>
      <c r="F19" s="36">
        <v>0</v>
      </c>
      <c r="G19" s="89">
        <v>0</v>
      </c>
      <c r="I19" s="15" t="s">
        <v>24</v>
      </c>
      <c r="J19" s="18">
        <f>F$6*PsubProp</f>
        <v>50</v>
      </c>
    </row>
    <row r="20" spans="2:10" ht="16.5">
      <c r="B20" s="20" t="s">
        <v>65</v>
      </c>
      <c r="C20" s="34"/>
      <c r="D20" s="24"/>
      <c r="E20" s="24"/>
      <c r="F20" s="24"/>
      <c r="G20" s="25"/>
      <c r="H20" s="28"/>
      <c r="I20" s="15" t="s">
        <v>69</v>
      </c>
      <c r="J20" s="18">
        <f>F$6*LandlordProp</f>
        <v>50</v>
      </c>
    </row>
    <row r="21" spans="2:10" ht="17.25" thickBot="1">
      <c r="B21" s="15" t="s">
        <v>66</v>
      </c>
      <c r="C21" s="78">
        <v>0</v>
      </c>
      <c r="D21" s="79">
        <f>EECAinslOnly*D13</f>
        <v>0.013999999999999999</v>
      </c>
      <c r="E21" s="79">
        <f>EECAinslOnly*E13</f>
        <v>0.013999999999999999</v>
      </c>
      <c r="F21" s="79">
        <f>EECAinslOnly*F13</f>
        <v>0.013999999999999999</v>
      </c>
      <c r="G21" s="81">
        <f>EECAinslOnly*G13</f>
        <v>0.013999999999999999</v>
      </c>
      <c r="I21" s="88" t="s">
        <v>40</v>
      </c>
      <c r="J21" s="95">
        <f>SUM(J16:J20)</f>
        <v>200</v>
      </c>
    </row>
    <row r="22" spans="2:7" ht="16.5">
      <c r="B22" s="37" t="s">
        <v>101</v>
      </c>
      <c r="C22" s="10">
        <f>C21-FSpropCSio-FSproptenCSio</f>
        <v>0</v>
      </c>
      <c r="D22" s="10">
        <f>FSHCjustinsl-FSHCpropCSio-FSHCpropCStenio</f>
        <v>0.002380000000000001</v>
      </c>
      <c r="E22" s="10">
        <f>E21-IFpropCSio-ifproptenCSio</f>
        <v>0.002380000000000001</v>
      </c>
      <c r="F22" s="10">
        <f>F21-PSpropCSio-psProptenCSio</f>
        <v>0.002380000000000001</v>
      </c>
      <c r="G22" s="30">
        <f>G21-LandlordspropCSio-LandlordspropTenIO</f>
        <v>0.002380000000000001</v>
      </c>
    </row>
    <row r="23" spans="2:8" ht="16.5">
      <c r="B23" s="37" t="s">
        <v>102</v>
      </c>
      <c r="C23" s="10"/>
      <c r="D23" s="10">
        <f>FSHCjustinsl*HHCS</f>
        <v>0.004899999999999999</v>
      </c>
      <c r="E23" s="10">
        <f>IFJustInsl*HHCS</f>
        <v>0.004899999999999999</v>
      </c>
      <c r="F23" s="10">
        <f>PSjustInsl*HHCS</f>
        <v>0.004899999999999999</v>
      </c>
      <c r="G23" s="30">
        <f>LandlordsJustInsl*HHCS</f>
        <v>0.004899999999999999</v>
      </c>
      <c r="H23" s="19"/>
    </row>
    <row r="24" spans="2:8" ht="16.5">
      <c r="B24" s="37" t="s">
        <v>103</v>
      </c>
      <c r="C24" s="9"/>
      <c r="D24" s="10">
        <f>TenCS*FSHCjustinsl</f>
        <v>0.006719999999999999</v>
      </c>
      <c r="E24" s="10">
        <f>TenCS*IFJustInsl</f>
        <v>0.006719999999999999</v>
      </c>
      <c r="F24" s="10">
        <f>TenCS*PSjustInsl</f>
        <v>0.006719999999999999</v>
      </c>
      <c r="G24" s="30">
        <f>TenCS*LandlordsJustInsl</f>
        <v>0.006719999999999999</v>
      </c>
      <c r="H24" s="28"/>
    </row>
    <row r="25" spans="2:8" ht="16.5">
      <c r="B25" s="38" t="s">
        <v>104</v>
      </c>
      <c r="C25" s="29">
        <f>C13-C21</f>
        <v>1</v>
      </c>
      <c r="D25" s="29">
        <f>D13-D21</f>
        <v>0.6859999999999999</v>
      </c>
      <c r="E25" s="29">
        <f>E13-E21</f>
        <v>0.6859999999999999</v>
      </c>
      <c r="F25" s="29">
        <f>F13-F21</f>
        <v>0.6859999999999999</v>
      </c>
      <c r="G25" s="35">
        <f>G13-G21</f>
        <v>0.6859999999999999</v>
      </c>
      <c r="H25" s="28"/>
    </row>
    <row r="26" spans="2:8" ht="16.5">
      <c r="B26" s="37" t="s">
        <v>105</v>
      </c>
      <c r="C26" s="10"/>
      <c r="D26" s="10">
        <f>D25-FSHCPropCS-FSHCproptenCS</f>
        <v>0.11662</v>
      </c>
      <c r="E26" s="10">
        <f>E25-IFpropCS-IFproptenCS</f>
        <v>0.11662</v>
      </c>
      <c r="F26" s="10">
        <f>F25-PSpropCS-PSproptenCS</f>
        <v>0.44589999999999996</v>
      </c>
      <c r="G26" s="30">
        <f>G25-LandlordspropCS-LandlordsproptenCS</f>
        <v>0.35672</v>
      </c>
      <c r="H26" s="36"/>
    </row>
    <row r="27" spans="2:8" ht="16.5">
      <c r="B27" s="37" t="s">
        <v>106</v>
      </c>
      <c r="C27" s="10">
        <f>FullSubInsl</f>
        <v>1</v>
      </c>
      <c r="D27" s="10">
        <f>Inputs!$Q13*D25</f>
        <v>0.24009999999999995</v>
      </c>
      <c r="E27" s="10">
        <f>Inputs!$Q13*E25</f>
        <v>0.24009999999999995</v>
      </c>
      <c r="F27" s="10">
        <f>Inputs!$Q13*F25</f>
        <v>0.24009999999999995</v>
      </c>
      <c r="G27" s="30">
        <v>0</v>
      </c>
      <c r="H27" s="36"/>
    </row>
    <row r="28" spans="2:8" ht="16.5">
      <c r="B28" s="37" t="s">
        <v>107</v>
      </c>
      <c r="C28" s="9"/>
      <c r="D28" s="10">
        <f>Inputs!$Q14*D25</f>
        <v>0.32927999999999996</v>
      </c>
      <c r="E28" s="10">
        <f>Inputs!$Q14*E25</f>
        <v>0.32927999999999996</v>
      </c>
      <c r="F28" s="10">
        <v>0</v>
      </c>
      <c r="G28" s="30">
        <f>Inputs!$Q14*G25</f>
        <v>0.32927999999999996</v>
      </c>
      <c r="H28" s="36"/>
    </row>
    <row r="29" spans="2:8" ht="17.25" thickBot="1">
      <c r="B29" s="21" t="s">
        <v>86</v>
      </c>
      <c r="C29" s="86">
        <f>SUM(C26:C28,C22:C24)+SUM(C17:C19)</f>
        <v>1</v>
      </c>
      <c r="D29" s="86">
        <f>SUM(D26:D28,D22:D24)+SUM(D17:D19)</f>
        <v>1</v>
      </c>
      <c r="E29" s="86">
        <f>SUM(E26:E28,E22:E24)+SUM(E17:E19)</f>
        <v>1</v>
      </c>
      <c r="F29" s="86">
        <f>SUM(F26:F28,F22:F24)+SUM(F17:F19)</f>
        <v>1</v>
      </c>
      <c r="G29" s="87">
        <f>SUM(G26:G28,G22:G24)+SUM(G17:G19)</f>
        <v>1</v>
      </c>
      <c r="H29" s="28"/>
    </row>
    <row r="30" spans="2:8" ht="16.5">
      <c r="B30" s="19"/>
      <c r="H30" s="36"/>
    </row>
    <row r="31" spans="4:8" ht="16.5">
      <c r="D31" s="39"/>
      <c r="E31" s="39"/>
      <c r="H31" s="78"/>
    </row>
    <row r="32" spans="2:8" ht="17.25" thickBot="1">
      <c r="B32" s="1" t="s">
        <v>126</v>
      </c>
      <c r="D32" s="5"/>
      <c r="H32" s="78"/>
    </row>
    <row r="33" spans="2:8" ht="16.5">
      <c r="B33" s="11"/>
      <c r="C33" s="12" t="s">
        <v>23</v>
      </c>
      <c r="D33" s="14" t="s">
        <v>108</v>
      </c>
      <c r="E33" s="14" t="s">
        <v>0</v>
      </c>
      <c r="F33" s="14" t="s">
        <v>24</v>
      </c>
      <c r="G33" s="23" t="s">
        <v>61</v>
      </c>
      <c r="H33" s="78"/>
    </row>
    <row r="34" spans="2:8" ht="16.5">
      <c r="B34" s="15" t="s">
        <v>15</v>
      </c>
      <c r="C34" s="29">
        <v>0.26</v>
      </c>
      <c r="D34" s="10">
        <f>FullSubWB</f>
        <v>0.26</v>
      </c>
      <c r="E34" s="10">
        <f>C34</f>
        <v>0.26</v>
      </c>
      <c r="F34" s="10">
        <f>C34</f>
        <v>0.26</v>
      </c>
      <c r="G34" s="30">
        <f>E34</f>
        <v>0.26</v>
      </c>
      <c r="H34" s="36"/>
    </row>
    <row r="35" spans="2:8" ht="16.5">
      <c r="B35" s="15" t="s">
        <v>16</v>
      </c>
      <c r="C35" s="29">
        <v>0.02</v>
      </c>
      <c r="D35" s="10">
        <f>FullSubPellet</f>
        <v>0.02</v>
      </c>
      <c r="E35" s="10">
        <f>C35</f>
        <v>0.02</v>
      </c>
      <c r="F35" s="10">
        <f>C35</f>
        <v>0.02</v>
      </c>
      <c r="G35" s="30">
        <f>E35</f>
        <v>0.02</v>
      </c>
      <c r="H35" s="78"/>
    </row>
    <row r="36" spans="2:8" ht="16.5">
      <c r="B36" s="15" t="s">
        <v>97</v>
      </c>
      <c r="C36" s="29">
        <v>0.7</v>
      </c>
      <c r="D36" s="10">
        <f>FullSubHP</f>
        <v>0.7</v>
      </c>
      <c r="E36" s="10">
        <f>C36</f>
        <v>0.7</v>
      </c>
      <c r="F36" s="10">
        <f>C36</f>
        <v>0.7</v>
      </c>
      <c r="G36" s="30">
        <f>E36</f>
        <v>0.7</v>
      </c>
      <c r="H36" s="78"/>
    </row>
    <row r="37" spans="2:8" ht="16.5">
      <c r="B37" s="15" t="s">
        <v>18</v>
      </c>
      <c r="C37" s="29">
        <v>0.02</v>
      </c>
      <c r="D37" s="10">
        <f>FullSubGas</f>
        <v>0.02</v>
      </c>
      <c r="E37" s="10">
        <f>C37</f>
        <v>0.02</v>
      </c>
      <c r="F37" s="10">
        <f>C37</f>
        <v>0.02</v>
      </c>
      <c r="G37" s="30">
        <f>E37</f>
        <v>0.02</v>
      </c>
      <c r="H37" s="78"/>
    </row>
    <row r="38" spans="2:7" ht="16.5">
      <c r="B38" s="15" t="s">
        <v>98</v>
      </c>
      <c r="C38" s="29">
        <v>0</v>
      </c>
      <c r="D38" s="10">
        <f>FullSubDiesel</f>
        <v>0</v>
      </c>
      <c r="E38" s="10">
        <f>C38</f>
        <v>0</v>
      </c>
      <c r="F38" s="10">
        <f>C38</f>
        <v>0</v>
      </c>
      <c r="G38" s="30">
        <f>E38</f>
        <v>0</v>
      </c>
    </row>
    <row r="39" spans="2:7" ht="17.25" thickBot="1">
      <c r="B39" s="21" t="s">
        <v>40</v>
      </c>
      <c r="C39" s="86">
        <f>SUM(C34:C38)</f>
        <v>1</v>
      </c>
      <c r="D39" s="86">
        <f>SUM(D34:D38)</f>
        <v>1</v>
      </c>
      <c r="E39" s="86">
        <f>SUM(E34:E38)</f>
        <v>1</v>
      </c>
      <c r="F39" s="86">
        <f>SUM(F34:F38)</f>
        <v>1</v>
      </c>
      <c r="G39" s="87">
        <f>SUM(G34:G38)</f>
        <v>1</v>
      </c>
    </row>
    <row r="40" spans="2:8" ht="16.5">
      <c r="B40" s="32" t="s">
        <v>109</v>
      </c>
      <c r="F40" s="39"/>
      <c r="H40" s="8"/>
    </row>
    <row r="41" spans="2:7" ht="16.5">
      <c r="B41" s="28"/>
      <c r="C41" s="36"/>
      <c r="D41" s="28"/>
      <c r="E41" s="28"/>
      <c r="F41" s="91"/>
      <c r="G41" s="36"/>
    </row>
    <row r="42" spans="2:7" ht="16.5">
      <c r="B42" s="28"/>
      <c r="C42" s="36"/>
      <c r="D42" s="28"/>
      <c r="E42" s="28"/>
      <c r="F42" s="36"/>
      <c r="G42" s="28"/>
    </row>
    <row r="43" spans="2:7" ht="17.25" thickBot="1">
      <c r="B43" s="28" t="s">
        <v>127</v>
      </c>
      <c r="E43" s="28"/>
      <c r="F43" s="36"/>
      <c r="G43" s="28"/>
    </row>
    <row r="44" spans="2:7" ht="16.5">
      <c r="B44" s="71" t="s">
        <v>81</v>
      </c>
      <c r="C44" s="72"/>
      <c r="E44" s="28"/>
      <c r="F44" s="36"/>
      <c r="G44" s="28"/>
    </row>
    <row r="45" spans="2:7" ht="16.5">
      <c r="B45" s="15" t="s">
        <v>83</v>
      </c>
      <c r="C45" s="83">
        <v>0.078</v>
      </c>
      <c r="E45" s="28"/>
      <c r="F45" s="36"/>
      <c r="G45" s="28"/>
    </row>
    <row r="46" spans="2:7" ht="17.25" thickBot="1">
      <c r="B46" s="21" t="s">
        <v>82</v>
      </c>
      <c r="C46" s="31">
        <v>0.06</v>
      </c>
      <c r="E46" s="28"/>
      <c r="F46" s="36"/>
      <c r="G46" s="28"/>
    </row>
    <row r="47" spans="5:7" ht="16.5">
      <c r="E47" s="28"/>
      <c r="F47" s="28"/>
      <c r="G47" s="28"/>
    </row>
    <row r="49" ht="16.5">
      <c r="H49" s="91"/>
    </row>
    <row r="50" ht="16.5">
      <c r="H50" s="28"/>
    </row>
  </sheetData>
  <sheetProtection/>
  <dataValidations count="36">
    <dataValidation type="whole" operator="greaterThan" allowBlank="1" showInputMessage="1" showErrorMessage="1" sqref="D6 G6">
      <formula1>0</formula1>
    </dataValidation>
    <dataValidation type="whole" allowBlank="1" showInputMessage="1" showErrorMessage="1" promptTitle="Maximum subsidy IF loan" prompt="If there is a maximum subsidy allocated towards the interest free loan put the value in here.   If there is no maximum put N/A." sqref="M7">
      <formula1>1</formula1>
      <formula2>1000000</formula2>
    </dataValidation>
    <dataValidation type="list" allowBlank="1" showInputMessage="1" showErrorMessage="1" sqref="C2">
      <formula1>$C$5:$D$5</formula1>
    </dataValidation>
    <dataValidation allowBlank="1" showInputMessage="1" showErrorMessage="1" promptTitle="Household numbers" prompt="To change household numbers by programme change the percentages in Table 1.3.The values in these cells will automatically update." sqref="J20"/>
    <dataValidation allowBlank="1" showInputMessage="1" showErrorMessage="1" promptTitle="Council Budget" prompt="Enter data  in this cell when the Council budget for the incentives programme is known.  If you do not have a set budget and wish to know the cost of converting a specified number of households use Table 1.2" sqref="C6"/>
    <dataValidation allowBlank="1" showInputMessage="1" showErrorMessage="1" promptTitle="Total Households " prompt="This is an output based on the Council budget entered above.  " sqref="C7"/>
    <dataValidation type="whole" operator="greaterThan" allowBlank="1" showInputMessage="1" showErrorMessage="1" promptTitle="Input household numbers" prompt="Enter a value in this cell if you wish to know the cost of converting a specified number of houses.  If you do not wish to use this function please leave any number greater than zero in this cell. " sqref="F6">
      <formula1>0</formula1>
    </dataValidation>
    <dataValidation allowBlank="1" showInputMessage="1" showErrorMessage="1" promptTitle="Full subsidy" prompt="Enter the proportion of the households that you wish to provide a full subsidy for. " sqref="J6"/>
    <dataValidation allowBlank="1" showInputMessage="1" showErrorMessage="1" promptTitle="Fixed cost homeowner contributio" prompt="Enter the proportion of households that you wish to incentivise using a fixed cost to homeowner programme. " sqref="J7"/>
    <dataValidation allowBlank="1" showInputMessage="1" showErrorMessage="1" promptTitle="Interest free loan" prompt="Enter the proportion of households that you wish to incentivise using an interest free loan.  " sqref="J8"/>
    <dataValidation allowBlank="1" showInputMessage="1" showErrorMessage="1" promptTitle="Partial subsidy" prompt="Enter the proportion of households that you wish to incentivise using a partial subsidy. " sqref="J9"/>
    <dataValidation allowBlank="1" showInputMessage="1" showErrorMessage="1" promptTitle="Landlord subsidy" prompt="Enter the proportion of households that you wish to incentivise using a landlord subsidy. " sqref="J10"/>
    <dataValidation type="whole" allowBlank="1" showInputMessage="1" showErrorMessage="1" promptTitle="Total allocation of programme" prompt="This must add up to 100%.  If not please adjust cells J6 to J10 so they total 100%. " errorTitle="Total Programme Allocation" error="Total must add up to 100%" sqref="J11">
      <formula1>1</formula1>
      <formula2>1</formula2>
    </dataValidation>
    <dataValidation allowBlank="1" showInputMessage="1" showErrorMessage="1" promptTitle="Home Owner - CSC Card" prompt="Default data is based on household income &lt;$50,000 that own home and use wood as a proportion of total households that own home and use wood for New Zealand. " sqref="Q13"/>
    <dataValidation allowBlank="1" showInputMessage="1" showErrorMessage="1" promptTitle="Rented House - CSC Card" prompt="Default data is based on households income &lt;$50,000 that rent house and use wood as a proportion of total households that rent house and use wood for New Zealand." sqref="Q14"/>
    <dataValidation allowBlank="1" showInputMessage="1" showErrorMessage="1" promptTitle="Fixed contribution" prompt="Enter the fixed amount your Council will require households to contribute. If this programme type is not to be used put zero in cell J7.  In this case the value in this cell will not be used and can either be set to zero or left as it is.  " sqref="M6"/>
    <dataValidation allowBlank="1" showInputMessage="1" showErrorMessage="1" promptTitle="Partial subsidy Clean Heat" prompt="Enter the amount of Council subsidy allocated to partial subsidy clean heat component. If this programme type is not to be used put zero in cell J9.  In this case the value in this cell will not be used and can either be set to zero or left as it is.  " sqref="M8"/>
    <dataValidation allowBlank="1" showInputMessage="1" showErrorMessage="1" promptTitle="Partial subsidy insulation" prompt="Enter the amount of Council subsidy allocated to partial subsidy insulation component. If this programme type is not to be used put zero in cell J9. If a partial subsidy is used but only for the clean heat component put a zero in this cell. " sqref="M9"/>
    <dataValidation allowBlank="1" showInputMessage="1" showErrorMessage="1" promptTitle="Landlord subsidy clean heat" prompt="Enter the amount of Council subsidy allocated to landlord subsidy clean heat component. If this programme type is not to be used put zero in cell J10.  In this case the value in this cell will not be used and can either be set to zero or left as it is.  " sqref="M10"/>
    <dataValidation allowBlank="1" showInputMessage="1" showErrorMessage="1" promptTitle="Landlord subsidy insulation" prompt="Enter the amount of Council subsidy allocated to landlord subsidy insulation component. If this programme type is not to be used put zero in cell J10. If a landlord subsidy is used but only for the clean heat component put a zero in this cell. " sqref="M11"/>
    <dataValidation allowBlank="1" showInputMessage="1" showErrorMessage="1" promptTitle="Fixed homeowner contribution" prompt="This group will primarily include those wanting to take up incentives with houses that have been built after 2000 " sqref="D12"/>
    <dataValidation allowBlank="1" showInputMessage="1" showErrorMessage="1" promptTitle="Interest free loans" prompt="This group will primarily include those wanting to take up incentives and have a house that was built after 2000 and those that do not want to insulate but want Clean Heat grants" sqref="E12"/>
    <dataValidation allowBlank="1" showInputMessage="1" showErrorMessage="1" promptTitle="Partial subsidy" prompt="This group will primarily include those wanting to take up incentives and have a house that was built after 2000 and those that do not want to insulate but want Clean Heat grants.&#10;" sqref="F12"/>
    <dataValidation allowBlank="1" showInputMessage="1" showErrorMessage="1" promptTitle="Landlord subsidy" prompt="This group will primarily include those wanting to take up incentives and have a house that was built after 2000 and those that do not want to insulate but want Clean Heat grants." sqref="G12"/>
    <dataValidation allowBlank="1" showInputMessage="1" showErrorMessage="1" promptTitle="Full subsidy" prompt="It is assumed that all households targeted for full subsidy will be low income and will meet the EECA funding criteria of houses built before  2000 and have community services cards. " sqref="C12"/>
    <dataValidation allowBlank="1" showInputMessage="1" showErrorMessage="1" promptTitle="Full subsidy" prompt="This cell must add up to 100%.  If not please adjust cells C17 to C28 accordingly. " sqref="C29"/>
    <dataValidation allowBlank="1" showInputMessage="1" showErrorMessage="1" promptTitle="Fixed homeowner contribution" prompt="This cell must add up to 100%.  If not please adjust cells d17 to d28 accordingly. " sqref="D29"/>
    <dataValidation allowBlank="1" showInputMessage="1" showErrorMessage="1" promptTitle="Interest free loan" prompt="This cell must add up to 100%.  If not please adjust cells E17  to E28 accordingly. " sqref="E29"/>
    <dataValidation allowBlank="1" showInputMessage="1" showErrorMessage="1" promptTitle="Partial subsidy" prompt="This cell must add up to 100%.  If not please adjust cells F21 to f28 accordingly. " sqref="F29"/>
    <dataValidation allowBlank="1" showInputMessage="1" showErrorMessage="1" promptTitle="Landlord subsidy" prompt="This cell must add up to 100%.  If not please adjust cells g21 to g28 accordingly. " sqref="G29"/>
    <dataValidation allowBlank="1" showInputMessage="1" showErrorMessage="1" promptTitle="Interest rate for Council loans" prompt="This is based on the interest rate from the Nelson Clean Heat Loan Scheme.  Alter if a different value is more appropriate. " sqref="C45"/>
    <dataValidation allowBlank="1" showInputMessage="1" showErrorMessage="1" promptTitle="Discount rate" prompt="This is the discount rate used to calculate the net present value for loans schemes.  It is set at 6% based on economic work done for Environment Canterbury (e.g., Bicknell &amp; Greer, 2001) but can be altered if a different value is more appropriate. " sqref="C46"/>
    <dataValidation allowBlank="1" showInputMessage="1" showErrorMessage="1" promptTitle="Insulation" prompt="$2500 is the average cost of households installing insulation based on information from the EECA Warm Up NZ: Heat Smart programme.  The full insulation of a house is $4000. However  only a proportion of houses required total insulation (EECA, 2009).  " sqref="V6"/>
    <dataValidation allowBlank="1" showInputMessage="1" showErrorMessage="1" promptTitle="Heat Pump" prompt="The average cost of a heater (any sort) from the EECA programme was $2800.  " sqref="S6"/>
    <dataValidation allowBlank="1" showInputMessage="1" showErrorMessage="1" promptTitle="EECA insulation only" prompt="The proportion of households wanting to only insulate their house is likely to be low.  This is because households have had to remove a heating option to be eligible for Council funding and therefore are likely to want to replace their heating." sqref="B21"/>
    <dataValidation allowBlank="1" showInputMessage="1" showErrorMessage="1" promptTitle="Household numbers" prompt="If you want to change the household numbers by programme then you will need to change the percentages in Table 1.3.The values in these cells will automatically update." sqref="J16:J19"/>
  </dataValidation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3:I19"/>
  <sheetViews>
    <sheetView zoomScalePageLayoutView="0" workbookViewId="0" topLeftCell="A1">
      <selection activeCell="I5" sqref="I5"/>
    </sheetView>
  </sheetViews>
  <sheetFormatPr defaultColWidth="9.140625" defaultRowHeight="15"/>
  <cols>
    <col min="1" max="1" width="9.140625" style="1" customWidth="1"/>
    <col min="2" max="2" width="21.57421875" style="1" customWidth="1"/>
    <col min="3" max="6" width="13.421875" style="1" customWidth="1"/>
    <col min="7" max="7" width="9.140625" style="1" customWidth="1"/>
    <col min="8" max="8" width="18.140625" style="1" customWidth="1"/>
    <col min="9" max="9" width="20.57421875" style="1" customWidth="1"/>
    <col min="10" max="16384" width="9.140625" style="1" customWidth="1"/>
  </cols>
  <sheetData>
    <row r="3" spans="2:8" ht="17.25" thickBot="1">
      <c r="B3" s="1" t="s">
        <v>137</v>
      </c>
      <c r="H3" s="1" t="s">
        <v>138</v>
      </c>
    </row>
    <row r="4" spans="2:9" ht="16.5">
      <c r="B4" s="105"/>
      <c r="C4" s="106" t="s">
        <v>78</v>
      </c>
      <c r="D4" s="106" t="s">
        <v>35</v>
      </c>
      <c r="E4" s="107" t="s">
        <v>36</v>
      </c>
      <c r="F4" s="108" t="s">
        <v>40</v>
      </c>
      <c r="H4" s="105"/>
      <c r="I4" s="108" t="s">
        <v>80</v>
      </c>
    </row>
    <row r="5" spans="2:9" ht="16.5">
      <c r="B5" s="103" t="s">
        <v>23</v>
      </c>
      <c r="C5" s="2">
        <f>FSCouncilCost</f>
        <v>250000</v>
      </c>
      <c r="D5" s="2">
        <f>FSEECAcost</f>
        <v>60000</v>
      </c>
      <c r="E5" s="2">
        <f>FSHouseholdCost</f>
        <v>0</v>
      </c>
      <c r="F5" s="3">
        <f>FStotalcost</f>
        <v>310000</v>
      </c>
      <c r="H5" s="103" t="s">
        <v>23</v>
      </c>
      <c r="I5" s="4">
        <f>FSprop*HHoutput</f>
        <v>0</v>
      </c>
    </row>
    <row r="6" spans="2:9" ht="16.5">
      <c r="B6" s="103" t="s">
        <v>85</v>
      </c>
      <c r="C6" s="2">
        <f>FSHCCouncilCost</f>
        <v>170802.75000000003</v>
      </c>
      <c r="D6" s="2">
        <f>FSHCEECAcost</f>
        <v>74037.25</v>
      </c>
      <c r="E6" s="2">
        <f>FSHChouseholdCost</f>
        <v>25350</v>
      </c>
      <c r="F6" s="3">
        <f>FSHCtotalcost</f>
        <v>270190</v>
      </c>
      <c r="H6" s="103" t="s">
        <v>85</v>
      </c>
      <c r="I6" s="4">
        <f>HHoutput*FSHCprop</f>
        <v>0</v>
      </c>
    </row>
    <row r="7" spans="2:9" ht="16.5">
      <c r="B7" s="103" t="s">
        <v>0</v>
      </c>
      <c r="C7" s="2">
        <f>IFCouncilCost</f>
        <v>0</v>
      </c>
      <c r="D7" s="2">
        <f>IFEECACost</f>
        <v>0</v>
      </c>
      <c r="E7" s="2">
        <f>IFHHcost</f>
        <v>0</v>
      </c>
      <c r="F7" s="3">
        <f>IFTotalCost</f>
        <v>0</v>
      </c>
      <c r="H7" s="103" t="s">
        <v>0</v>
      </c>
      <c r="I7" s="4">
        <f>HHoutput*IFprop</f>
        <v>0</v>
      </c>
    </row>
    <row r="8" spans="2:9" ht="16.5">
      <c r="B8" s="103" t="s">
        <v>24</v>
      </c>
      <c r="C8" s="2">
        <f>PsubCouncilCost</f>
        <v>24650</v>
      </c>
      <c r="D8" s="2">
        <f>PSubEECAcost</f>
        <v>62924.049999999996</v>
      </c>
      <c r="E8" s="2">
        <f>PSubHHcost</f>
        <v>182615.95</v>
      </c>
      <c r="F8" s="3">
        <f>PsubTotalCost</f>
        <v>270190</v>
      </c>
      <c r="H8" s="103" t="s">
        <v>24</v>
      </c>
      <c r="I8" s="4">
        <f>HHoutput*PsubProp</f>
        <v>0</v>
      </c>
    </row>
    <row r="9" spans="2:9" ht="16.5">
      <c r="B9" s="103" t="s">
        <v>26</v>
      </c>
      <c r="C9" s="2">
        <f>LandlordCouncilCost</f>
        <v>24650</v>
      </c>
      <c r="D9" s="2">
        <f>LandlordEECAcost</f>
        <v>57530.375</v>
      </c>
      <c r="E9" s="2">
        <f>LandlordHHcost</f>
        <v>182615.95</v>
      </c>
      <c r="F9" s="3">
        <f>Landlordtotalcost</f>
        <v>269910</v>
      </c>
      <c r="H9" s="103" t="s">
        <v>26</v>
      </c>
      <c r="I9" s="4">
        <f>HHoutput*LandlordProp</f>
        <v>0</v>
      </c>
    </row>
    <row r="10" spans="2:9" ht="17.25" thickBot="1">
      <c r="B10" s="104" t="s">
        <v>40</v>
      </c>
      <c r="C10" s="100">
        <f>SUM(C5:C9)</f>
        <v>470102.75</v>
      </c>
      <c r="D10" s="100">
        <f>SUM(D5:D9)</f>
        <v>254491.675</v>
      </c>
      <c r="E10" s="100">
        <f>SUM(E5:E9)</f>
        <v>390581.9</v>
      </c>
      <c r="F10" s="101">
        <f>SUM(F5:F9)</f>
        <v>1120290</v>
      </c>
      <c r="H10" s="104" t="s">
        <v>40</v>
      </c>
      <c r="I10" s="102">
        <f>SUM(I5:I9)</f>
        <v>0</v>
      </c>
    </row>
    <row r="14" spans="3:7" ht="16.5">
      <c r="C14" s="19"/>
      <c r="D14" s="19"/>
      <c r="E14" s="19"/>
      <c r="F14" s="19"/>
      <c r="G14" s="19"/>
    </row>
    <row r="15" spans="3:8" ht="16.5">
      <c r="C15" s="2"/>
      <c r="D15" s="2"/>
      <c r="E15" s="2"/>
      <c r="F15"/>
      <c r="G15"/>
      <c r="H15"/>
    </row>
    <row r="16" spans="3:8" ht="16.5">
      <c r="C16" s="19"/>
      <c r="D16" s="19"/>
      <c r="E16" s="19"/>
      <c r="F16"/>
      <c r="G16"/>
      <c r="H16"/>
    </row>
    <row r="19" ht="16.5">
      <c r="F19" s="110"/>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K46"/>
  <sheetViews>
    <sheetView zoomScalePageLayoutView="0" workbookViewId="0" topLeftCell="A1">
      <selection activeCell="K12" sqref="K12"/>
    </sheetView>
  </sheetViews>
  <sheetFormatPr defaultColWidth="9.140625" defaultRowHeight="15"/>
  <cols>
    <col min="1" max="1" width="9.140625" style="1" customWidth="1"/>
    <col min="2" max="2" width="13.00390625" style="1" customWidth="1"/>
    <col min="3" max="3" width="23.28125" style="1" customWidth="1"/>
    <col min="4" max="4" width="11.7109375" style="5" customWidth="1"/>
    <col min="5" max="6" width="12.57421875" style="1" bestFit="1" customWidth="1"/>
    <col min="7" max="7" width="12.7109375" style="1" bestFit="1" customWidth="1"/>
    <col min="8" max="8" width="11.28125" style="1" customWidth="1"/>
    <col min="9" max="16384" width="9.140625" style="1" customWidth="1"/>
  </cols>
  <sheetData>
    <row r="2" ht="17.25" thickBot="1"/>
    <row r="3" spans="2:7" ht="16.5">
      <c r="B3" s="52" t="s">
        <v>23</v>
      </c>
      <c r="C3" s="53"/>
      <c r="D3" s="54" t="s">
        <v>34</v>
      </c>
      <c r="E3" s="53" t="s">
        <v>35</v>
      </c>
      <c r="F3" s="53" t="s">
        <v>36</v>
      </c>
      <c r="G3" s="55" t="s">
        <v>37</v>
      </c>
    </row>
    <row r="4" spans="2:9" ht="16.5">
      <c r="B4" s="15"/>
      <c r="C4" s="19" t="s">
        <v>15</v>
      </c>
      <c r="D4" s="46">
        <f aca="true" t="shared" si="0" ref="D4:D9">G4-E4</f>
        <v>74100</v>
      </c>
      <c r="E4" s="2">
        <f>EECAsubCHcs*FullSubInsl*FSpropCS*HHFullsub*FullSubWB</f>
        <v>15600</v>
      </c>
      <c r="F4" s="2"/>
      <c r="G4" s="3">
        <f>HHFullsub*FullSubWB*(CapCostWB*FSCHnoSub+(FSinslCHnosub+FullSubInsl)*(CapCostWB+InsulationCost))</f>
        <v>89700</v>
      </c>
      <c r="H4" s="7"/>
      <c r="I4" s="1" t="s">
        <v>77</v>
      </c>
    </row>
    <row r="5" spans="2:9" ht="16.5">
      <c r="B5" s="15"/>
      <c r="C5" s="19" t="s">
        <v>16</v>
      </c>
      <c r="D5" s="46">
        <f t="shared" si="0"/>
        <v>6200</v>
      </c>
      <c r="E5" s="2">
        <f>EECAsubCHcs*FullSubInsl*Inputs!C$27*HHFullsub*FullSubPellet</f>
        <v>1200</v>
      </c>
      <c r="F5" s="2"/>
      <c r="G5" s="3">
        <f>HHFullsub*FullSubPellet*(CapCostPellet*FSCHnoSub+(FSinslCHnosub+FullSubInsl)*(CapCostPellet+InsulationCost))</f>
        <v>7400</v>
      </c>
      <c r="H5" s="7"/>
      <c r="I5" s="1" t="s">
        <v>58</v>
      </c>
    </row>
    <row r="6" spans="2:8" ht="16.5">
      <c r="B6" s="15"/>
      <c r="C6" s="19" t="s">
        <v>17</v>
      </c>
      <c r="D6" s="46">
        <f t="shared" si="0"/>
        <v>164500</v>
      </c>
      <c r="E6" s="2">
        <f>EECAsubCHcs*FullSubInsl*Inputs!C$27*HHFullsub*FullSubHP</f>
        <v>42000</v>
      </c>
      <c r="F6" s="2"/>
      <c r="G6" s="3">
        <f>HHFullsub*FullSubHP*(CapCostHP*FSCHnoSub+(FSinslCHnosub+FullSubInsl)*(CapCostHP+InsulationCost))</f>
        <v>206500</v>
      </c>
      <c r="H6" s="7"/>
    </row>
    <row r="7" spans="2:8" ht="16.5">
      <c r="B7" s="15"/>
      <c r="C7" s="19" t="s">
        <v>18</v>
      </c>
      <c r="D7" s="46">
        <f t="shared" si="0"/>
        <v>5200</v>
      </c>
      <c r="E7" s="2">
        <f>EECAsubCHcs*FullSubInsl*Inputs!C$27*HHFullsub*FullSubGas</f>
        <v>1200</v>
      </c>
      <c r="F7" s="2"/>
      <c r="G7" s="3">
        <f>HHFullsub*FullSubGas*(CapCostGas*FSCHnoSub+(FSinslCHnosub+FullSubInsl)*(CapCostGas+InsulationCost))</f>
        <v>6400</v>
      </c>
      <c r="H7" s="7"/>
    </row>
    <row r="8" spans="2:8" ht="16.5">
      <c r="B8" s="15"/>
      <c r="C8" s="19" t="s">
        <v>19</v>
      </c>
      <c r="D8" s="46">
        <f t="shared" si="0"/>
        <v>0</v>
      </c>
      <c r="E8" s="2">
        <f>EECAsubCHcs*FullSubInsl*Inputs!C$27*HHFullsub*FullSubDiesel</f>
        <v>0</v>
      </c>
      <c r="F8" s="2"/>
      <c r="G8" s="3">
        <f>HHFullsub*FullSubDiesel*(CapCostDiesel*FSCHnoSub+(FSinslCHnosub+FullSubInsl)*(CapCostDiesel+InsulationCost))</f>
        <v>0</v>
      </c>
      <c r="H8" s="7"/>
    </row>
    <row r="9" spans="2:8" ht="16.5">
      <c r="B9" s="15"/>
      <c r="C9" s="19" t="s">
        <v>52</v>
      </c>
      <c r="D9" s="46">
        <f t="shared" si="0"/>
        <v>0</v>
      </c>
      <c r="E9" s="2">
        <f>FSpropEECAio*HHFSHC*EECAsubInsl+HHFSHC*FSpropCSio*EECAsubCSInsl+FSproptenCSio*HHFSHC*EECAsubtencsInsl</f>
        <v>0</v>
      </c>
      <c r="F9" s="2"/>
      <c r="G9" s="3">
        <f>(InsulationCost+AdminCost)*FullSubInsl*HHFullsub*(FSInslNoSub+FSjustInsl)</f>
        <v>0</v>
      </c>
      <c r="H9" s="7"/>
    </row>
    <row r="10" spans="2:8" ht="17.25" thickBot="1">
      <c r="B10" s="21"/>
      <c r="C10" s="22" t="s">
        <v>40</v>
      </c>
      <c r="D10" s="47">
        <f>SUM(D4:D9)</f>
        <v>250000</v>
      </c>
      <c r="E10" s="47">
        <f>SUM(E4:E9)</f>
        <v>60000</v>
      </c>
      <c r="F10" s="27"/>
      <c r="G10" s="48">
        <f>SUM(G4:G9)</f>
        <v>310000</v>
      </c>
      <c r="H10" s="7"/>
    </row>
    <row r="11" ht="17.25" thickBot="1"/>
    <row r="12" spans="2:7" ht="16.5">
      <c r="B12" s="52" t="s">
        <v>114</v>
      </c>
      <c r="C12" s="53"/>
      <c r="D12" s="54" t="s">
        <v>34</v>
      </c>
      <c r="E12" s="53" t="s">
        <v>35</v>
      </c>
      <c r="F12" s="53" t="s">
        <v>36</v>
      </c>
      <c r="G12" s="55" t="s">
        <v>37</v>
      </c>
    </row>
    <row r="13" spans="2:9" ht="16.5">
      <c r="B13" s="15"/>
      <c r="C13" s="19" t="s">
        <v>15</v>
      </c>
      <c r="D13" s="46">
        <f aca="true" t="shared" si="1" ref="D13:D18">G13-E13-F13</f>
        <v>53196.6305</v>
      </c>
      <c r="E13" s="2">
        <f>HHFSHC*FSHCwb*(FSHCpropEECA*(EECAsubInsl+EECAsubCH)+FSHCPropCS*(EECAsubCSInsl+EECAsubCHcs)+FSHCproptenCS*(EECAsubCHtenCS+EECAsubtencsInsl))</f>
        <v>18997.569499999998</v>
      </c>
      <c r="F13" s="2">
        <f>HHFSHC*FSHC*FSHCwb</f>
        <v>6500</v>
      </c>
      <c r="G13" s="3">
        <f>HHFSHC*FSHCwb*((CapCostWB*FSHCjustCHnosub)+(CapCostWB+InsulationCost)*(FSHCinslCHnosub+FSHCinsl))</f>
        <v>78694.2</v>
      </c>
      <c r="H13" s="7"/>
      <c r="I13" s="8"/>
    </row>
    <row r="14" spans="2:8" ht="16.5">
      <c r="B14" s="15"/>
      <c r="C14" s="19" t="s">
        <v>16</v>
      </c>
      <c r="D14" s="46">
        <f t="shared" si="1"/>
        <v>4585.0485</v>
      </c>
      <c r="E14" s="2">
        <f>HHFSHC*FSHCpellet*(FSHCpropEECA*(EECAsubInsl+EECAsubCH)+FSHCPropCS*(EECAsubCSInsl+EECAsubCHcs)+FSHCproptenCS*(EECAsubtencsInsl+EECAsubCHtenCS))</f>
        <v>1461.3514999999998</v>
      </c>
      <c r="F14" s="2">
        <f>HHFSHC*FSHC*FSHCpellet</f>
        <v>500</v>
      </c>
      <c r="G14" s="3">
        <f>HHFSHC*FSHCpellet*(CapCostPellet*FSHCjustCHnosub+(FSHCinslCHnosub+FSHCinsl)*(CapCostPellet+InsulationCost))</f>
        <v>6546.4</v>
      </c>
      <c r="H14" s="7"/>
    </row>
    <row r="15" spans="2:8" ht="16.5">
      <c r="B15" s="15"/>
      <c r="C15" s="19" t="s">
        <v>17</v>
      </c>
      <c r="D15" s="46">
        <f t="shared" si="1"/>
        <v>108711.69750000001</v>
      </c>
      <c r="E15" s="2">
        <f>HHFSHC*FSHChp*(FSHCpropEECA*(EECAsubInsl+EECAsubCH)+FSHCPropCS*(EECAsubCSInsl+EECAsubCHcs)+FSHCproptenCS*(EECAsubtencsInsl+EECAsubCHtenCS))</f>
        <v>51147.30249999999</v>
      </c>
      <c r="F15" s="2">
        <f>HHFSHC*FSHC*FSHChp</f>
        <v>17500</v>
      </c>
      <c r="G15" s="3">
        <f>HHFSHC*FSHChp*(CapCostHP*FSHCjustCHnosub+(FSHCinslCHnosub+FSHCinsl)*(CapCostHP+InsulationCost))</f>
        <v>177359</v>
      </c>
      <c r="H15" s="7"/>
    </row>
    <row r="16" spans="2:8" ht="16.5">
      <c r="B16" s="15"/>
      <c r="C16" s="19" t="s">
        <v>18</v>
      </c>
      <c r="D16" s="46">
        <f t="shared" si="1"/>
        <v>3599.0485</v>
      </c>
      <c r="E16" s="2">
        <f>HHFSHC*FSHCgas*(FSHCpropEECA*(EECAsubInsl+EECAsubCH)+FSHCPropCS*(EECAsubCSInsl+EECAsubCHcs)+FSHCproptenCS*(EECAsubtencsInsl+EECAsubCHtenCS))</f>
        <v>1461.3514999999998</v>
      </c>
      <c r="F16" s="2">
        <f>HHFSHC*FSHC*FSHCgas</f>
        <v>500</v>
      </c>
      <c r="G16" s="3">
        <f>HHFSHC*FSHCgas*(CapCostGas*FSHCjustCHnosub+(FSHCinslCHnosub+FSHCinsl)*(CapCostGas+InsulationCost))</f>
        <v>5560.4</v>
      </c>
      <c r="H16" s="7"/>
    </row>
    <row r="17" spans="2:8" ht="16.5">
      <c r="B17" s="15"/>
      <c r="C17" s="19" t="s">
        <v>19</v>
      </c>
      <c r="D17" s="74">
        <f t="shared" si="1"/>
        <v>0</v>
      </c>
      <c r="E17" s="2">
        <f>HHFSHC*FSHCdiesel*(FSHCpropEECA*(EECAsubInsl+EECAsubCH)+FSHCPropCS*(EECAsubCSInsl+EECAsubCHcs)+FSHCproptenCS*(EECAsubtencsInsl+EECAsubCHtenCS))</f>
        <v>0</v>
      </c>
      <c r="F17" s="75">
        <f>HHFSHC*FSHC*FSHCdiesel</f>
        <v>0</v>
      </c>
      <c r="G17" s="76">
        <f>HHFSHC*FSHCdiesel*(CapCostDiesel*FSHCjustCHnosub+(FSHCinslCHnosub+FSHCinsl)*(CapCostDiesel+InsulationCost))</f>
        <v>0</v>
      </c>
      <c r="H17" s="77"/>
    </row>
    <row r="18" spans="2:8" ht="16.5">
      <c r="B18" s="15"/>
      <c r="C18" s="19" t="s">
        <v>52</v>
      </c>
      <c r="D18" s="74">
        <f t="shared" si="1"/>
        <v>710.3249999999998</v>
      </c>
      <c r="E18" s="75">
        <f>HHFSHC*(FSHCpropEECAio*EECAsubInsl+FSHCpropCSio*EECAsubCSInsl+EECAsubtencsInsl*FSHCpropCStenio)</f>
        <v>969.6749999999998</v>
      </c>
      <c r="F18" s="75">
        <f>FSHC*HHFSHC*(FSHCinslnosub+FSHCjustinsl)</f>
        <v>349.99999999999994</v>
      </c>
      <c r="G18" s="76">
        <f>(InsulationCost+AdminCost)*HHFSHC*(FSHCinslnosub+FSHCjustinsl)</f>
        <v>2029.9999999999998</v>
      </c>
      <c r="H18" s="77"/>
    </row>
    <row r="19" spans="2:11" ht="17.25" thickBot="1">
      <c r="B19" s="21"/>
      <c r="C19" s="22" t="s">
        <v>40</v>
      </c>
      <c r="D19" s="47">
        <f>SUM(D13:D18)</f>
        <v>170802.75000000003</v>
      </c>
      <c r="E19" s="47">
        <f>SUM(E13:E18)</f>
        <v>74037.25</v>
      </c>
      <c r="F19" s="47">
        <f>SUM(F13:F18)</f>
        <v>25350</v>
      </c>
      <c r="G19" s="48">
        <f>SUM(G13:G18)</f>
        <v>270190</v>
      </c>
      <c r="H19" s="1" t="s">
        <v>71</v>
      </c>
      <c r="K19" s="6"/>
    </row>
    <row r="20" ht="17.25" thickBot="1"/>
    <row r="21" spans="2:7" ht="16.5">
      <c r="B21" s="52" t="s">
        <v>39</v>
      </c>
      <c r="C21" s="53"/>
      <c r="D21" s="54" t="s">
        <v>34</v>
      </c>
      <c r="E21" s="53" t="s">
        <v>59</v>
      </c>
      <c r="F21" s="53" t="s">
        <v>36</v>
      </c>
      <c r="G21" s="55" t="s">
        <v>37</v>
      </c>
    </row>
    <row r="22" spans="2:9" ht="16.5">
      <c r="B22" s="15"/>
      <c r="C22" s="19" t="s">
        <v>53</v>
      </c>
      <c r="D22" s="49">
        <f>(1-IFInsl)*HHIntFree*ifwb*IFccWB+IFInslnoSub*ifwb*HHIntFree*'IntFreeLoan$NPV'!F11+IFpropEECA*HHIntFree*ifwb*'IntFreeLoan$NPV'!F18+IFpropCS*HHIntFree*ifwb*'IntFreeLoan$NPV'!F25+IFproptenCS*HHIntFree*ifwb*'IntFreeLoan$NPV'!F32</f>
        <v>0</v>
      </c>
      <c r="E22" s="2">
        <f>(IFpropEECA*HHIntFree*(EECAsubInsl+EECAsubCH)+(EECAsubCSInsl+EECAsubCHcs)*IFpropCS*HHIntFree+IFproptenCS*HHIntFree*(EECAsubtencsInsl+EECAsubCHtenCS))*ifwb</f>
        <v>0</v>
      </c>
      <c r="F22" s="49">
        <f>(1-IFInsl)*HHIntFree*ifwb*'IntFreeLoan$NPV'!F40+IFInslnoSub*ifwb*HHIntFree*'IntFreeLoan$NPV'!F46+IFpropEECA*HHIntFree*ifwb*'IntFreeLoan$NPV'!F53+IFpropCS*HHIntFree*ifwb*'IntFreeLoan$NPV'!F60+IFproptenCS*HHIntFree*ifwb*'IntFreeLoan$NPV'!F67</f>
        <v>0</v>
      </c>
      <c r="G22" s="50">
        <f aca="true" t="shared" si="2" ref="G22:G28">SUM(D22:F22)</f>
        <v>0</v>
      </c>
      <c r="H22" s="7"/>
      <c r="I22" s="7"/>
    </row>
    <row r="23" spans="2:9" ht="16.5">
      <c r="B23" s="15"/>
      <c r="C23" s="19" t="s">
        <v>54</v>
      </c>
      <c r="D23" s="49">
        <f>(1-IFInsl)*HHIntFree*ifPELLET*IFccWB+IFInslnoSub*ifPELLET*HHIntFree*'IntFreeLoan$NPV'!F12+IFpropEECA*HHIntFree*ifPELLET*'IntFreeLoan$NPV'!F19+IFpropCS*HHIntFree*ifPELLET*'IntFreeLoan$NPV'!F26+IFproptenCS*HHIntFree*ifPELLET*'IntFreeLoan$NPV'!F33</f>
        <v>0</v>
      </c>
      <c r="E23" s="2">
        <f>(IFpropEECA*HHIntFree*(EECAsubInsl+EECAsubCH)+(EECAsubCSInsl+EECAsubCHcs)*IFpropCS*HHIntFree+IFproptenCS*HHIntFree*(EECAsubtencsInsl+EECAsubCHtenCS))*ifPELLET</f>
        <v>0</v>
      </c>
      <c r="F23" s="49">
        <f>(1-IFInsl)*HHIntFree*ifPELLET*'IntFreeLoan$NPV'!F41+IFInslnoSub*ifPELLET*HHIntFree*'IntFreeLoan$NPV'!F47+IFpropEECA*HHIntFree*ifPELLET*'IntFreeLoan$NPV'!F54+IFpropCS*HHIntFree*ifPELLET*'IntFreeLoan$NPV'!F61+IFproptenCS*HHIntFree*ifPELLET*'IntFreeLoan$NPV'!F68</f>
        <v>0</v>
      </c>
      <c r="G23" s="50">
        <f t="shared" si="2"/>
        <v>0</v>
      </c>
      <c r="H23" s="7"/>
      <c r="I23" s="7"/>
    </row>
    <row r="24" spans="2:9" ht="16.5">
      <c r="B24" s="15"/>
      <c r="C24" s="19" t="s">
        <v>55</v>
      </c>
      <c r="D24" s="49">
        <f>(1-IFInsl)*HHIntFree*IFHP*IFccHP+IFInslnoSub*IFHP*HHIntFree*'IntFreeLoan$NPV'!F13+IFpropEECA*HHIntFree*IFHP*'IntFreeLoan$NPV'!F20+IFpropCS*HHIntFree*IFHP*'IntFreeLoan$NPV'!F27+IFproptenCS*HHIntFree*IFHP*'IntFreeLoan$NPV'!F34</f>
        <v>0</v>
      </c>
      <c r="E24" s="2">
        <f>(IFpropEECA*HHIntFree*(EECAsubInsl+EECAsubCH)+(EECAsubCSInsl+EECAsubCHcs)*IFpropCS*HHIntFree+IFproptenCS*HHIntFree*(EECAsubtencsInsl+EECAsubCHtenCS))*IFHP</f>
        <v>0</v>
      </c>
      <c r="F24" s="49">
        <f>(1-IFInsl)*HHIntFree*IFHP*'IntFreeLoan$NPV'!F42+IFInslnoSub*IFHP*HHIntFree*'IntFreeLoan$NPV'!F48+IFpropEECA*HHIntFree*IFHP*'IntFreeLoan$NPV'!F55+IFpropCS*HHIntFree*IFHP*'IntFreeLoan$NPV'!F62+IFproptenCS*HHIntFree*IFHP*'IntFreeLoan$NPV'!F69</f>
        <v>0</v>
      </c>
      <c r="G24" s="50">
        <f t="shared" si="2"/>
        <v>0</v>
      </c>
      <c r="H24" s="7"/>
      <c r="I24" s="7"/>
    </row>
    <row r="25" spans="2:9" ht="16.5">
      <c r="B25" s="15"/>
      <c r="C25" s="19" t="s">
        <v>56</v>
      </c>
      <c r="D25" s="49">
        <f>(1-IFInsl)*HHIntFree*IFGAS*IFccGas+IFInslnoSub*IFGAS*HHIntFree*'IntFreeLoan$NPV'!F14+IFpropEECA*HHIntFree*IFGAS*'IntFreeLoan$NPV'!F21+IFpropCS*HHIntFree*IFGAS*'IntFreeLoan$NPV'!F28+IFproptenCS*HHIntFree*IFGAS*'IntFreeLoan$NPV'!F35</f>
        <v>0</v>
      </c>
      <c r="E25" s="2">
        <f>(IFpropEECA*HHIntFree*(EECAsubInsl+EECAsubCH)+(EECAsubCSInsl+EECAsubCHcs)*IFpropCS*HHIntFree+IFproptenCS*HHIntFree*(EECAsubtencsInsl+EECAsubCHtenCS))*IFGAS</f>
        <v>0</v>
      </c>
      <c r="F25" s="49">
        <f>(1-IFInsl)*HHIntFree*IFGAS*'IntFreeLoan$NPV'!F43+IFInslnoSub*IFGAS*HHIntFree*'IntFreeLoan$NPV'!F49+IFpropEECA*HHIntFree*IFGAS*'IntFreeLoan$NPV'!F56+IFpropCS*HHIntFree*IFGAS*'IntFreeLoan$NPV'!F63+IFproptenCS*HHIntFree*IFGAS*'IntFreeLoan$NPV'!F70</f>
        <v>0</v>
      </c>
      <c r="G25" s="50">
        <f t="shared" si="2"/>
        <v>0</v>
      </c>
      <c r="H25" s="7"/>
      <c r="I25" s="7"/>
    </row>
    <row r="26" spans="2:9" ht="16.5">
      <c r="B26" s="15"/>
      <c r="C26" s="19" t="s">
        <v>57</v>
      </c>
      <c r="D26" s="49">
        <f>(1-IFInsl)*HHIntFree*IFDIESEL*IfccDiesel+IFInslnoSub*IFDIESEL*HHIntFree*'IntFreeLoan$NPV'!F15+IFpropEECA*HHIntFree*IFDIESEL*'IntFreeLoan$NPV'!F22+IFpropCS*HHIntFree*IFDIESEL*'IntFreeLoan$NPV'!F29+IFproptenCS*HHIntFree*IFDIESEL*'IntFreeLoan$NPV'!F36</f>
        <v>0</v>
      </c>
      <c r="E26" s="2">
        <f>(IFpropEECA*HHIntFree*(EECAsubInsl+EECAsubCH)+(EECAsubCSInsl+EECAsubCHcs)*IFpropCS*HHIntFree+IFproptenCS*HHIntFree*(EECAsubtencsInsl+EECAsubCHtenCS))*IFDIESEL</f>
        <v>0</v>
      </c>
      <c r="F26" s="49">
        <f>(1-IFInsl)*HHIntFree*IFDIESEL*'IntFreeLoan$NPV'!F44+IFInslnoSub*IFDIESEL*HHIntFree*'IntFreeLoan$NPV'!F50+IFpropEECA*HHIntFree*IFDIESEL*'IntFreeLoan$NPV'!F57+IFpropCS*HHIntFree*IFDIESEL*'IntFreeLoan$NPV'!F64+IFproptenCS*HHIntFree*IFDIESEL*'IntFreeLoan$NPV'!F71</f>
        <v>0</v>
      </c>
      <c r="G26" s="50">
        <f t="shared" si="2"/>
        <v>0</v>
      </c>
      <c r="H26" s="7"/>
      <c r="I26" s="7"/>
    </row>
    <row r="27" spans="2:11" ht="16.5">
      <c r="B27" s="15"/>
      <c r="C27" s="19" t="s">
        <v>52</v>
      </c>
      <c r="D27" s="49">
        <f>HHIntFree*IFJustInsl*IFInslnoSub*'IntFreeLoan$NPV'!F16+HHIntFree*IFJustInsl*IFpropEECA*'IntFreeLoan$NPV'!F23+HHIntFree*IFJustInsl*IFpropCS*'IntFreeLoan$NPV'!F30+HHIntFree*IFJustInsl*IFproptenCS*'IntFreeLoan$NPV'!F37</f>
        <v>0</v>
      </c>
      <c r="E27" s="2">
        <f>(IFJustInsl*IFpropEECA*EECAsubInsl*HHIntFree+IFJustInsl*IFpropCS*ifwb*HHIntFree*EECAsubCSInsl+IFJustInsl*IFproptenCS*HHIntFree*ifwb*EECAsubtencsInsl)</f>
        <v>0</v>
      </c>
      <c r="F27" s="49">
        <f>HHIntFree*IFJustInsl*IFInslnoSub*'IntFreeLoan$NPV'!F51+HHIntFree*IFJustInsl*IFpropEECA*'IntFreeLoan$NPV'!F58+HHIntFree*IFJustInsl*IFpropCS*'IntFreeLoan$NPV'!F65+HHIntFree*IFJustInsl*IFproptenCS*'IntFreeLoan$NPV'!F72</f>
        <v>0</v>
      </c>
      <c r="G27" s="50">
        <f t="shared" si="2"/>
        <v>0</v>
      </c>
      <c r="H27" s="7"/>
      <c r="I27" s="7"/>
      <c r="K27" s="7"/>
    </row>
    <row r="28" spans="2:9" ht="17.25" thickBot="1">
      <c r="B28" s="21"/>
      <c r="C28" s="22" t="s">
        <v>40</v>
      </c>
      <c r="D28" s="47">
        <f>SUM(D22:D27)</f>
        <v>0</v>
      </c>
      <c r="E28" s="47">
        <f>SUM(E22:E27)</f>
        <v>0</v>
      </c>
      <c r="F28" s="47">
        <f>SUM(F22:F27)</f>
        <v>0</v>
      </c>
      <c r="G28" s="48">
        <f t="shared" si="2"/>
        <v>0</v>
      </c>
      <c r="I28" s="7"/>
    </row>
    <row r="29" ht="17.25" thickBot="1"/>
    <row r="30" spans="2:10" ht="16.5">
      <c r="B30" s="52" t="s">
        <v>24</v>
      </c>
      <c r="C30" s="53"/>
      <c r="D30" s="54" t="s">
        <v>34</v>
      </c>
      <c r="E30" s="53" t="s">
        <v>35</v>
      </c>
      <c r="F30" s="53" t="s">
        <v>36</v>
      </c>
      <c r="G30" s="55" t="s">
        <v>37</v>
      </c>
      <c r="J30" s="1" t="s">
        <v>70</v>
      </c>
    </row>
    <row r="31" spans="2:9" ht="16.5">
      <c r="B31" s="15"/>
      <c r="C31" s="19" t="s">
        <v>15</v>
      </c>
      <c r="D31" s="46">
        <f>HHpartsub*pSUBwb*((pSubJustCHnoSub*pSubCouncilCH)+PsubInslCHnosub*(pSubCouncilCH+PsubCouncilInsl)+pSUBinsl*(pSubCouncilCH+PsubCouncilInsl))</f>
        <v>6409</v>
      </c>
      <c r="E31" s="46">
        <f>HHpartsub*pSUBwb*(PSpropEECA*(EECAsubInsl+EECAsubCH)+PSpropCS*(EECAsubCSInsl+EECAsubCHcs)+PSproptenCS*(EECAsubtencsInsl+EECAsubCHtenCS))</f>
        <v>16108.137499999999</v>
      </c>
      <c r="F31" s="2">
        <f>pSubJustCHnoSub*HHpartsub*pSUBwb*(CapCostWB-pSubCouncilCH)+PsubInslCHnosub*HHpartsub*pSUBwb*((CapCostWB+InsulationCost)-(pSubCouncilCH+PsubCouncilInsl))+PSpropEECA*HHpartsub*pSUBwb*((CapCostWB+InsulationCost)-(EECAsubInsl+EECAsubCH+pSubCouncilCH+PsubCouncilInsl))+PSpropCS*HHpartsub*pSUBwb*((CapCostWB+InsulationCost)-(EECAsubCSInsl+EECAsubCHcs+pSubCouncilCH+PsubCouncilInsl))+PSproptenCS*pSUBwb*HHpartsub*((CapCostWB+InsulationCost)-(EECAsubtencsInsl+EECAsubCHtenCS+pSubCouncilCH+PsubCouncilInsl))</f>
        <v>56177.0625</v>
      </c>
      <c r="G31" s="3">
        <f>pSUBwb*HHpartsub*pSubJustCHnoSub*CapCostWB+(PsubInslCHnosub+pSUBinsl)*pSUBwb*HHpartsub*(CapCostWB+InsulationCost)</f>
        <v>78694.2</v>
      </c>
      <c r="H31" s="7"/>
      <c r="I31" s="7"/>
    </row>
    <row r="32" spans="2:9" ht="16.5">
      <c r="B32" s="15"/>
      <c r="C32" s="19" t="s">
        <v>16</v>
      </c>
      <c r="D32" s="46">
        <f>HHpartsub*Psubpellet*((pSubJustCHnoSub*pSubCouncilCH)+PsubInslCHnosub*(pSubCouncilCH+PsubCouncilInsl)+pSUBinsl*(pSubCouncilCH+PsubCouncilInsl))</f>
        <v>493</v>
      </c>
      <c r="E32" s="46">
        <f>PSpropEECA*HHpartsub*Psubpellet*(EECAsubInsl+EECAsubCH)+Psubpellet*PSpropCS*HHpartsub*(EECAsubCSInsl+EECAsubCHcs)+HHpartsub*PSproptenCS*Psubpellet*(EECAsubtencsInsl+EECAsubCHtenCS)</f>
        <v>1239.0874999999999</v>
      </c>
      <c r="F32" s="2">
        <f>pSubJustCHnoSub*HHpartsub*Psubpellet*(CapCostPellet-pSubCouncilCH)+PsubInslCHnosub*HHpartsub*Psubpellet*((CapCostPellet+InsulationCost)-(pSubCouncilCH+PsubCouncilInsl))+PSpropEECA*HHpartsub*Psubpellet*((CapCostPellet+InsulationCost)-(EECAsubInsl+EECAsubCH+pSubCouncilCH+PsubCouncilInsl))+PSpropCS*HHpartsub*Psubpellet*((CapCostPellet+InsulationCost)-(EECAsubCSInsl+EECAsubCHcs+pSubCouncilCH+PsubCouncilInsl))+PSproptenCS*Psubpellet*HHpartsub*((CapCostPellet+InsulationCost)-(EECAsubtencsInsl+EECAsubCHtenCS+pSubCouncilCH+PsubCouncilInsl))</f>
        <v>4814.3125</v>
      </c>
      <c r="G32" s="3">
        <f>Psubpellet*HHpartsub*pSubJustCHnoSub*CapCostPellet+(PsubInslCHnosub+pSUBinsl)*Psubpellet*HHpartsub*(CapCostPellet+InsulationCost)</f>
        <v>6546.4</v>
      </c>
      <c r="H32" s="7"/>
      <c r="I32" s="7"/>
    </row>
    <row r="33" spans="2:9" ht="16.5">
      <c r="B33" s="15"/>
      <c r="C33" s="19" t="s">
        <v>17</v>
      </c>
      <c r="D33" s="46">
        <f>HHpartsub*pSUBHP*((pSubJustCHnoSub*pSubCouncilCH)+PsubInslCHnosub*(pSubCouncilCH+PsubCouncilInsl)+pSUBinsl*(pSubCouncilCH+PsubCouncilInsl))</f>
        <v>17255</v>
      </c>
      <c r="E33" s="46">
        <f>PSpropEECA*HHpartsub*pSUBHP*(EECAsubInsl+EECAsubCH)+pSUBHP*PSpropCS*HHpartsub*(EECAsubCSInsl+EECAsubCHcs)+HHpartsub*PSproptenCS*pSUBHP*(EECAsubtencsInsl+EECAsubCHtenCS)</f>
        <v>43368.06249999999</v>
      </c>
      <c r="F33" s="2">
        <f>pSubJustCHnoSub*HHpartsub*pSUBHP*(CapCostHP-pSubCouncilCH)+PsubInslCHnosub*HHpartsub*pSUBHP*((CapCostHP+InsulationCost)-(pSubCouncilCH+PsubCouncilInsl))+PSpropEECA*HHpartsub*pSUBHP*((CapCostHP+InsulationCost)-(EECAsubInsl+EECAsubCH+pSubCouncilCH+PsubCouncilInsl))+PSpropCS*HHpartsub*pSUBHP*((CapCostHP+InsulationCost)-(EECAsubCSInsl+EECAsubCHcs+pSubCouncilCH+PsubCouncilInsl))+PSproptenCS*pSUBHP*HHpartsub*((CapCostHP+InsulationCost)-(EECAsubtencsInsl+EECAsubCHtenCS+pSubCouncilCH+PsubCouncilInsl))</f>
        <v>116735.93749999999</v>
      </c>
      <c r="G33" s="3">
        <f>pSUBHP*HHpartsub*pSubJustCHnoSub*CapCostHP+(PsubInslCHnosub+pSUBinsl)*pSUBHP*HHpartsub*(CapCostHP+InsulationCost)</f>
        <v>177358.99999999997</v>
      </c>
      <c r="H33" s="7"/>
      <c r="I33" s="7"/>
    </row>
    <row r="34" spans="2:9" ht="16.5">
      <c r="B34" s="15"/>
      <c r="C34" s="19" t="s">
        <v>18</v>
      </c>
      <c r="D34" s="46">
        <f>HHpartsub*PSubGas*((pSubJustCHnoSub*pSubCouncilCH)+PsubInslCHnosub*(pSubCouncilCH+PsubCouncilInsl)+pSUBinsl*(pSubCouncilCH+PsubCouncilInsl))</f>
        <v>493</v>
      </c>
      <c r="E34" s="46">
        <f>PSpropEECA*HHpartsub*PSubGas*(EECAsubInsl+EECAsubCH)+PSubGas*PSpropCS*HHpartsub*(EECAsubCSInsl+EECAsubCHcs)+HHpartsub*PSproptenCS*PSubGas*(EECAsubtencsInsl+EECAsubCHtenCS)</f>
        <v>1239.0874999999999</v>
      </c>
      <c r="F34" s="2">
        <f>pSubJustCHnoSub*HHpartsub*PSubGas*(CapCostGas-pSubCouncilCH)+PsubInslCHnosub*HHpartsub*PSubGas*((CapCostGas+InsulationCost)-(pSubCouncilCH+PsubCouncilInsl))+PSpropEECA*HHpartsub*PSubGas*((CapCostGas+InsulationCost)-(EECAsubInsl+EECAsubCH+pSubCouncilCH+PsubCouncilInsl))+PSpropCS*HHpartsub*PSubGas*((CapCostGas+InsulationCost)-(EECAsubCSInsl+EECAsubCHcs+pSubCouncilCH+PsubCouncilInsl))+PSproptenCS*PSubGas*HHpartsub*((CapCostGas+InsulationCost)-(EECAsubtencsInsl+EECAsubCHtenCS+pSubCouncilCH+PsubCouncilInsl))</f>
        <v>3828.3124999999995</v>
      </c>
      <c r="G34" s="3">
        <f>PSubGas*HHpartsub*pSubJustCHnoSub*CapCostGas+(PsubInslCHnosub+pSUBinsl)*PSubGas*HHpartsub*(CapCostGas+InsulationCost)</f>
        <v>5560.4</v>
      </c>
      <c r="H34" s="7"/>
      <c r="I34" s="7"/>
    </row>
    <row r="35" spans="2:9" ht="16.5">
      <c r="B35" s="15"/>
      <c r="C35" s="19" t="s">
        <v>19</v>
      </c>
      <c r="D35" s="46">
        <f>HHpartsub*Psubdiesel*((pSubJustCHnoSub*pSubCouncilCH)+PsubInslCHnosub*(pSubCouncilCH+PsubCouncilInsl)+pSUBinsl*(pSubCouncilCH+PsubCouncilInsl))</f>
        <v>0</v>
      </c>
      <c r="E35" s="46">
        <f>PSpropEECA*HHpartsub*Psubdiesel*(EECAsubInsl+EECAsubCH)+Psubdiesel*PSpropCS*HHpartsub*(EECAsubCSInsl+EECAsubCHcs)+HHpartsub*PSproptenCS*Psubdiesel*(EECAsubtencsInsl+EECAsubCHtenCS)</f>
        <v>0</v>
      </c>
      <c r="F35" s="2">
        <f>pSubJustCHnoSub*HHpartsub*Psubdiesel*(CapCostDiesel-pSubCouncilCH)+PsubInslCHnosub*HHpartsub*Psubdiesel*((CapCostDiesel+InsulationCost)-(pSubCouncilCH+PsubCouncilInsl))+PSpropEECA*HHpartsub*Psubdiesel*((CapCostDiesel+InsulationCost)-(EECAsubInsl+EECAsubCH+pSubCouncilCH+PsubCouncilInsl))+PSpropCS*HHpartsub*Psubdiesel*((CapCostDiesel+InsulationCost)-(EECAsubCSInsl+EECAsubCHcs+pSubCouncilCH+PsubCouncilInsl))+PSproptenCS*Psubdiesel*HHpartsub*((CapCostDiesel+InsulationCost)-(EECAsubtencsInsl+EECAsubCHtenCS+pSubCouncilCH+PsubCouncilInsl))</f>
        <v>0</v>
      </c>
      <c r="G35" s="3">
        <f>Psubdiesel*HHpartsub*pSubJustCHnoSub*CapCostDiesel+(PsubInslCHnosub+pSUBinsl)*Psubdiesel*HHpartsub*(CapCostDiesel+InsulationCost)</f>
        <v>0</v>
      </c>
      <c r="H35" s="7"/>
      <c r="I35" s="7"/>
    </row>
    <row r="36" spans="2:9" ht="16.5">
      <c r="B36" s="15"/>
      <c r="C36" s="19" t="s">
        <v>52</v>
      </c>
      <c r="D36" s="46">
        <f>HHpartsub*((pSUBinslnosub+PSjustInsl)*PsubCouncilInsl)</f>
        <v>0</v>
      </c>
      <c r="E36" s="2">
        <f>HHpartsub*(PSpropEECAio*EECAsubInsl+PSpropCSio*EECAsubCSInsl+psProptenCSio*EECAsubtencsInsl)</f>
        <v>969.6749999999998</v>
      </c>
      <c r="F36" s="2">
        <f>HHpartsub*(pSUBinslnosub*(InsulationCost+AdminCost-PsubCouncilInsl)+PSpropEECAio*(InsulationCost+AdminCost-EECAsubInsl-PsubCouncilInsl)+PSpropCSio*(InsulationCost+AdminCost-EECAsubCSInsl-PsubCouncilInsl)+psProptenCSio*(InsulationCost+AdminCost-EECAsubtencsInsl-PsubCouncilInsl))</f>
        <v>1060.3249999999998</v>
      </c>
      <c r="G36" s="3">
        <f>(pSUBinslnosub+PSjustInsl)*HHpartsub*(InsulationCost+AdminCost)</f>
        <v>2029.9999999999998</v>
      </c>
      <c r="H36" s="7"/>
      <c r="I36" s="7"/>
    </row>
    <row r="37" spans="2:9" ht="17.25" thickBot="1">
      <c r="B37" s="21"/>
      <c r="C37" s="22" t="s">
        <v>40</v>
      </c>
      <c r="D37" s="51">
        <f>SUM(D31:D36)</f>
        <v>24650</v>
      </c>
      <c r="E37" s="51">
        <f>SUM(E31:E36)</f>
        <v>62924.049999999996</v>
      </c>
      <c r="F37" s="47">
        <f>SUM(F31:F36)</f>
        <v>182615.95</v>
      </c>
      <c r="G37" s="48">
        <f>SUM(G31:G36)</f>
        <v>270190</v>
      </c>
      <c r="I37" s="7"/>
    </row>
    <row r="38" ht="17.25" thickBot="1">
      <c r="H38" s="7">
        <f>SUM(G31:G37)</f>
        <v>540380</v>
      </c>
    </row>
    <row r="39" spans="2:7" ht="16.5">
      <c r="B39" s="52" t="s">
        <v>69</v>
      </c>
      <c r="C39" s="53"/>
      <c r="D39" s="54" t="s">
        <v>34</v>
      </c>
      <c r="E39" s="53" t="s">
        <v>35</v>
      </c>
      <c r="F39" s="53" t="s">
        <v>36</v>
      </c>
      <c r="G39" s="55" t="s">
        <v>37</v>
      </c>
    </row>
    <row r="40" spans="2:9" ht="16.5">
      <c r="B40" s="15"/>
      <c r="C40" s="19" t="s">
        <v>15</v>
      </c>
      <c r="D40" s="46">
        <f>HHlandlord*LandlordWb*((LandlordjustCHnoSub*LandlordCouncilCH)+LandlordInslCHnosub*(LandlordCouncilCH+LandlordCouncilinsl)+LandlordInsl*(LandlordCouncilCH+LandlordCouncilinsl))</f>
        <v>6409</v>
      </c>
      <c r="E40" s="46">
        <f>LandlordpropEECA*HHlandlord*LandlordWb*(EECAsubInsl+EECAsubCH)+LandlordWb*LandlordpropCS*HHlandlord*(EECAsubCSInsl+EECAsubCHcs)+HHlandlord*LandlordproptenCS*LandlordWb*(EECAsubtencsInsl+EECAsubCHtenCS)</f>
        <v>14705.782000000001</v>
      </c>
      <c r="F40" s="2">
        <f>LandlordjustCHnoSub*HHlandlord*LandlordWb*(CapCostWB-LandlordCouncilCH)+LandlordInslCHnosub*HHlandlord*LandlordWb*((CapCostWB+InsulationCost)-(LandlordCouncilCH+LandlordCouncilinsl))+PSpropEECA*HHlandlord*LandlordWb*((CapCostWB+InsulationCost)-(EECAsubInsl+EECAsubCH+LandlordCouncilCH+LandlordCouncilinsl))+PSpropCS*HHlandlord*LandlordWb*((CapCostWB+InsulationCost)-(EECAsubCSInsl+EECAsubCHcs+LandlordCouncilCH+LandlordCouncilinsl))+PSproptenCS*LandlordWb*HHlandlord*((CapCostWB+InsulationCost)-(EECAsubtencsInsl+EECAsubCHtenCS+LandlordCouncilCH+LandlordCouncilinsl))</f>
        <v>56177.0625</v>
      </c>
      <c r="G40" s="3">
        <f>LandlordWb*HHlandlord*LandlordjustCHnoSub*CapCostWB+(LandlordInslCHnosub+LandlordInsl)*LandlordWb*HHlandlord*(CapCostWB+InsulationCost)</f>
        <v>78694.2</v>
      </c>
      <c r="H40" s="7"/>
      <c r="I40" s="7"/>
    </row>
    <row r="41" spans="2:9" ht="16.5">
      <c r="B41" s="15"/>
      <c r="C41" s="19" t="s">
        <v>16</v>
      </c>
      <c r="D41" s="46">
        <f>HHlandlord*LandlordPellet*((LandlordjustCHnoSub*LandlordCouncilCH)+LandlordInslCHnosub*(LandlordCouncilCH+LandlordCouncilinsl)+LandlordInsl*(LandlordCouncilCH+LandlordCouncilinsl))</f>
        <v>493</v>
      </c>
      <c r="E41" s="46">
        <f>LandlordpropEECA*HHlandlord*LandlordPellet*(EECAsubInsl+EECAsubCH)+LandlordPellet*LandlordpropCS*HHlandlord*(EECAsubCSInsl+EECAsubCHcs)+HHlandlord*LandlordproptenCS*LandlordPellet*(EECAsubtencsInsl+EECAsubCHtenCS)</f>
        <v>1131.214</v>
      </c>
      <c r="F41" s="2">
        <f>LandlordjustCHnoSub*HHlandlord*LandlordPellet*(CapCostPellet-LandlordCouncilCH)+LandlordInslCHnosub*HHlandlord*LandlordPellet*((CapCostPellet+InsulationCost)-(LandlordCouncilCH+LandlordCouncilinsl))+PSpropEECA*HHlandlord*LandlordPellet*((CapCostPellet+InsulationCost)-(EECAsubInsl+EECAsubCH+LandlordCouncilCH+LandlordCouncilinsl))+PSpropCS*HHlandlord*LandlordPellet*((CapCostPellet+InsulationCost)-(EECAsubCSInsl+EECAsubCHcs+LandlordCouncilCH+LandlordCouncilinsl))+PSproptenCS*LandlordPellet*HHlandlord*((CapCostPellet+InsulationCost)-(EECAsubtencsInsl+EECAsubCHtenCS+LandlordCouncilCH+LandlordCouncilinsl))</f>
        <v>4814.3125</v>
      </c>
      <c r="G41" s="3">
        <f>LandlordPellet*HHlandlord*LandlordjustCHnoSub*CapCostPellet+(LandlordInslCHnosub+LandlordInsl)*LandlordPellet*HHlandlord*(CapCostPellet+InsulationCost)</f>
        <v>6546.4</v>
      </c>
      <c r="H41" s="7"/>
      <c r="I41" s="7"/>
    </row>
    <row r="42" spans="2:9" ht="16.5">
      <c r="B42" s="15"/>
      <c r="C42" s="19" t="s">
        <v>17</v>
      </c>
      <c r="D42" s="46">
        <f>HHlandlord*LandlordHP*((LandlordjustCHnoSub*LandlordCouncilCH)+LandlordInslCHnosub*(LandlordCouncilCH+LandlordCouncilinsl)+LandlordInsl*(LandlordCouncilCH+LandlordCouncilinsl))</f>
        <v>17255</v>
      </c>
      <c r="E42" s="46">
        <f>LandlordpropEECA*HHlandlord*LandlordHP*(EECAsubInsl+EECAsubCH)+LandlordHP*LandlordpropCS*HHlandlord*(EECAsubCSInsl+EECAsubCHcs)+HHlandlord*LandlordproptenCS*LandlordHP*(EECAsubtencsInsl+EECAsubCHtenCS)</f>
        <v>39592.49</v>
      </c>
      <c r="F42" s="2">
        <f>LandlordjustCHnoSub*HHlandlord*LandlordHP*(CapCostHP-LandlordCouncilCH)+LandlordInslCHnosub*HHlandlord*LandlordHP*((CapCostHP+InsulationCost)-(LandlordCouncilCH+LandlordCouncilinsl))+PSpropEECA*HHlandlord*LandlordHP*((CapCostHP+InsulationCost)-(EECAsubInsl+EECAsubCH+LandlordCouncilCH+LandlordCouncilinsl))+PSpropCS*HHlandlord*LandlordHP*((CapCostHP+InsulationCost)-(EECAsubCSInsl+EECAsubCHcs+LandlordCouncilCH+LandlordCouncilinsl))+PSproptenCS*LandlordHP*HHlandlord*((CapCostHP+InsulationCost)-(EECAsubtencsInsl+EECAsubCHtenCS+LandlordCouncilCH+LandlordCouncilinsl))</f>
        <v>116735.93749999999</v>
      </c>
      <c r="G42" s="3">
        <f>LandlordHP*HHlandlord*LandlordjustCHnoSub*CapCostHP+(LandlordInslCHnosub+LandlordInsl)*LandlordHP*HHlandlord*(CapCostHP+InsulationCost)</f>
        <v>177358.99999999997</v>
      </c>
      <c r="H42" s="7"/>
      <c r="I42" s="7"/>
    </row>
    <row r="43" spans="2:9" ht="16.5">
      <c r="B43" s="15"/>
      <c r="C43" s="19" t="s">
        <v>18</v>
      </c>
      <c r="D43" s="46">
        <f>HHlandlord*LandlordGas*((LandlordjustCHnoSub*LandlordCouncilCH)+LandlordInslCHnosub*(LandlordCouncilCH+LandlordCouncilinsl)+LandlordInsl*(LandlordCouncilCH+LandlordCouncilinsl))</f>
        <v>493</v>
      </c>
      <c r="E43" s="46">
        <f>LandlordpropEECA*HHlandlord*LandlordGas*(EECAsubInsl+EECAsubCH)+LandlordGas*LandlordpropCS*HHlandlord*(EECAsubCSInsl+EECAsubCHcs)+HHlandlord*LandlordproptenCS*LandlordGas*(EECAsubtencsInsl+EECAsubCHtenCS)</f>
        <v>1131.214</v>
      </c>
      <c r="F43" s="2">
        <f>LandlordjustCHnoSub*HHlandlord*LandlordGas*(CapCostGas-LandlordCouncilCH)+LandlordInslCHnosub*HHlandlord*LandlordGas*((CapCostGas+InsulationCost)-(LandlordCouncilCH+LandlordCouncilinsl))+PSpropEECA*HHlandlord*LandlordGas*((CapCostGas+InsulationCost)-(EECAsubInsl+EECAsubCH+LandlordCouncilCH+LandlordCouncilinsl))+PSpropCS*HHlandlord*LandlordGas*((CapCostGas+InsulationCost)-(EECAsubCSInsl+EECAsubCHcs+LandlordCouncilCH+LandlordCouncilinsl))+PSproptenCS*LandlordGas*HHlandlord*((CapCostGas+InsulationCost)-(EECAsubtencsInsl+EECAsubCHtenCS+LandlordCouncilCH+LandlordCouncilinsl))</f>
        <v>3828.3124999999995</v>
      </c>
      <c r="G43" s="3">
        <f>LandlordGas*HHlandlord*LandlordjustCHnoSub*CapCostGas+(LandlordInslCHnosub+LandlordInsl)*LandlordGas*HHlandlord*(CapCostGas+InsulationCost)</f>
        <v>5560.4</v>
      </c>
      <c r="H43" s="7"/>
      <c r="I43" s="7"/>
    </row>
    <row r="44" spans="2:9" ht="16.5">
      <c r="B44" s="15"/>
      <c r="C44" s="19" t="s">
        <v>19</v>
      </c>
      <c r="D44" s="46">
        <f>HHlandlord*LandlordDiesel*((LandlordjustCHnoSub*LandlordCouncilCH)+LandlordInslCHnosub*(LandlordCouncilCH+LandlordCouncilinsl)+LandlordInsl*(LandlordCouncilCH+LandlordCouncilinsl))</f>
        <v>0</v>
      </c>
      <c r="E44" s="46">
        <f>LandlordpropEECA*HHlandlord*LandlordDiesel*(EECAsubInsl+EECAsubCH)+LandlordDiesel*LandlordpropCS*HHlandlord*(EECAsubCSInsl+EECAsubCHcs)+HHlandlord*LandlordproptenCS*LandlordDiesel*(EECAsubtencsInsl+EECAsubCHtenCS)</f>
        <v>0</v>
      </c>
      <c r="F44" s="2">
        <f>LandlordjustCHnoSub*HHlandlord*LandlordDiesel*(CapCostDiesel-LandlordCouncilCH)+LandlordInslCHnosub*HHlandlord*LandlordDiesel*((CapCostDiesel+InsulationCost)-(LandlordCouncilCH+LandlordCouncilinsl))+PSpropEECA*HHlandlord*LandlordDiesel*((CapCostDiesel+InsulationCost)-(EECAsubInsl+EECAsubCH+LandlordCouncilCH+LandlordCouncilinsl))+PSpropCS*HHlandlord*LandlordDiesel*((CapCostDiesel+InsulationCost)-(EECAsubCSInsl+EECAsubCHcs+LandlordCouncilCH+LandlordCouncilinsl))+PSproptenCS*LandlordDiesel*HHlandlord*((CapCostDiesel+InsulationCost)-(EECAsubtencsInsl+EECAsubCHtenCS+LandlordCouncilCH+LandlordCouncilinsl))</f>
        <v>0</v>
      </c>
      <c r="G44" s="3">
        <f>LandlordDiesel*HHlandlord*LandlordjustCHnoSub*CapCostDiesel+(LandlordInslCHnosub+LandlordInsl)*LandlordDiesel*HHlandlord*(CapCostDiesel+InsulationCost)</f>
        <v>0</v>
      </c>
      <c r="H44" s="7"/>
      <c r="I44" s="7"/>
    </row>
    <row r="45" spans="2:9" ht="16.5">
      <c r="B45" s="15"/>
      <c r="C45" s="19" t="s">
        <v>52</v>
      </c>
      <c r="D45" s="46">
        <f>HHlandlord*((pSUBinslnosub+PSjustInsl)*PsubCouncilInsl)</f>
        <v>0</v>
      </c>
      <c r="E45" s="2">
        <f>HHlandlord*(landlordpropEECAio*EECAsubInsl+LandlordpropCSio*EECAsubCSInsl+LandlordspropTenIO*EECAsubtencsInsl)</f>
        <v>969.6749999999998</v>
      </c>
      <c r="F45" s="2">
        <f>HHlandlord*(pSUBinslnosub*(InsulationCost+AdminCost-PsubCouncilInsl)+PSpropEECAio*(InsulationCost+AdminCost-EECAsubInsl-PsubCouncilInsl)+PSpropCSio*(InsulationCost+AdminCost-EECAsubCSInsl-PsubCouncilInsl)+psProptenCSio*(InsulationCost+AdminCost-EECAsubtencsInsl-PsubCouncilInsl))</f>
        <v>1060.3249999999998</v>
      </c>
      <c r="G45" s="3">
        <f>(LandlordinslNoSub+PSjustInsl)*HHlandlord*InsulationCost</f>
        <v>1750</v>
      </c>
      <c r="H45" s="7"/>
      <c r="I45" s="7"/>
    </row>
    <row r="46" spans="2:9" ht="17.25" thickBot="1">
      <c r="B46" s="21"/>
      <c r="C46" s="22" t="s">
        <v>40</v>
      </c>
      <c r="D46" s="51">
        <f>SUM(D40:D45)</f>
        <v>24650</v>
      </c>
      <c r="E46" s="51">
        <f>SUM(E40:E45)</f>
        <v>57530.375</v>
      </c>
      <c r="F46" s="51">
        <f>SUM(F40:F45)</f>
        <v>182615.95</v>
      </c>
      <c r="G46" s="48">
        <f>SUM(G40:G45)</f>
        <v>269910</v>
      </c>
      <c r="I46" s="7"/>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Q72"/>
  <sheetViews>
    <sheetView zoomScalePageLayoutView="0" workbookViewId="0" topLeftCell="A1">
      <selection activeCell="J5" sqref="J5"/>
    </sheetView>
  </sheetViews>
  <sheetFormatPr defaultColWidth="9.140625" defaultRowHeight="15"/>
  <cols>
    <col min="1" max="1" width="9.140625" style="1" customWidth="1"/>
    <col min="2" max="2" width="19.140625" style="1" customWidth="1"/>
    <col min="3" max="3" width="9.8515625" style="1" customWidth="1"/>
    <col min="4" max="4" width="8.28125" style="1" customWidth="1"/>
    <col min="5" max="5" width="8.421875" style="1" customWidth="1"/>
    <col min="6" max="6" width="11.421875" style="1" customWidth="1"/>
    <col min="7" max="7" width="10.57421875" style="5" customWidth="1"/>
    <col min="8" max="8" width="9.140625" style="5" customWidth="1"/>
    <col min="9" max="9" width="10.140625" style="5" customWidth="1"/>
    <col min="10" max="10" width="11.57421875" style="5" customWidth="1"/>
    <col min="11" max="11" width="11.7109375" style="5" customWidth="1"/>
    <col min="12" max="12" width="9.140625" style="5" customWidth="1"/>
    <col min="13" max="13" width="10.57421875" style="5" bestFit="1" customWidth="1"/>
    <col min="14" max="17" width="9.140625" style="5" customWidth="1"/>
    <col min="18" max="16384" width="9.140625" style="1" customWidth="1"/>
  </cols>
  <sheetData>
    <row r="2" ht="17.25" thickBot="1"/>
    <row r="3" spans="1:17" ht="16.5">
      <c r="A3" s="42"/>
      <c r="B3" s="43"/>
      <c r="C3" s="43"/>
      <c r="D3" s="43"/>
      <c r="E3" s="43"/>
      <c r="F3" s="45"/>
      <c r="G3" s="44" t="s">
        <v>5</v>
      </c>
      <c r="H3" s="44" t="s">
        <v>1</v>
      </c>
      <c r="I3" s="44" t="s">
        <v>2</v>
      </c>
      <c r="J3" s="44" t="s">
        <v>3</v>
      </c>
      <c r="K3" s="44" t="s">
        <v>6</v>
      </c>
      <c r="L3" s="44" t="s">
        <v>7</v>
      </c>
      <c r="M3" s="44" t="s">
        <v>8</v>
      </c>
      <c r="N3" s="44" t="s">
        <v>9</v>
      </c>
      <c r="O3" s="44" t="s">
        <v>10</v>
      </c>
      <c r="P3" s="44" t="s">
        <v>11</v>
      </c>
      <c r="Q3" s="63" t="s">
        <v>12</v>
      </c>
    </row>
    <row r="4" spans="1:17" ht="16.5">
      <c r="A4" s="56" t="s">
        <v>41</v>
      </c>
      <c r="B4" s="57"/>
      <c r="C4" s="57"/>
      <c r="D4" s="57" t="s">
        <v>4</v>
      </c>
      <c r="E4" s="57"/>
      <c r="F4" s="58" t="s">
        <v>13</v>
      </c>
      <c r="G4" s="64">
        <v>0</v>
      </c>
      <c r="H4" s="64">
        <v>1</v>
      </c>
      <c r="I4" s="64">
        <v>2</v>
      </c>
      <c r="J4" s="64">
        <v>3</v>
      </c>
      <c r="K4" s="64">
        <v>4</v>
      </c>
      <c r="L4" s="64">
        <v>5</v>
      </c>
      <c r="M4" s="64">
        <v>6</v>
      </c>
      <c r="N4" s="64">
        <v>7</v>
      </c>
      <c r="O4" s="64">
        <v>8</v>
      </c>
      <c r="P4" s="64">
        <v>9</v>
      </c>
      <c r="Q4" s="65">
        <v>10</v>
      </c>
    </row>
    <row r="5" spans="1:17" ht="16.5">
      <c r="A5" s="15"/>
      <c r="B5" s="19" t="s">
        <v>15</v>
      </c>
      <c r="C5" s="19">
        <f>CapCostWB</f>
        <v>4400</v>
      </c>
      <c r="D5" s="19">
        <f>C5/10</f>
        <v>440</v>
      </c>
      <c r="E5" s="26"/>
      <c r="F5" s="61">
        <f>SUM(G5:Q5)</f>
        <v>1600.6320189862404</v>
      </c>
      <c r="G5" s="9">
        <f>CapCostWB*InterestRate*1/(1+IRdiscount)^year0</f>
        <v>343.2</v>
      </c>
      <c r="H5" s="66">
        <f>(CapCostWB-(Year1*HHYearlyCost))*InterestRate*1/(1+IRdiscount)^Year1</f>
        <v>291.3962264150943</v>
      </c>
      <c r="I5" s="66">
        <f>(CapCostWB-(Year2*HHYearlyCost))*InterestRate*(1/(1+IRdiscount)^Year2)</f>
        <v>244.3574225703097</v>
      </c>
      <c r="J5" s="66">
        <f>(CapCostWB-(Year3*HHYearlyCost))*InterestRate*1/(1+IRdiscount)^Year3</f>
        <v>201.71013655568015</v>
      </c>
      <c r="K5" s="66">
        <f>(CapCostWB-(Year4*HHYearlyCost))*InterestRate*1/(1+IRdiscount)^Year4</f>
        <v>163.10792713397316</v>
      </c>
      <c r="L5" s="66">
        <f>(CapCostWB-(Year5*HHYearlyCost))*InterestRate*1/(1+IRdiscount)^Year5</f>
        <v>128.22950246381535</v>
      </c>
      <c r="M5" s="66">
        <f>(CapCostWB-(Year6*HHYearlyCost))*InterestRate*1/(1+IRdiscount)^Year6</f>
        <v>96.77698299155877</v>
      </c>
      <c r="N5" s="66">
        <f>(CapCostWB-(Year7*HHYearlyCost))*InterestRate*1/(1+IRdiscount)^Year7</f>
        <v>68.47428041855571</v>
      </c>
      <c r="O5" s="66">
        <f>(CapCostWB-(Year8*HHYearlyCost))*InterestRate*1/(1+IRdiscount)^Year8</f>
        <v>43.06558516890297</v>
      </c>
      <c r="P5" s="66">
        <f>(CapCostWB-(Year9*HHYearlyCost))*InterestRate*1/(1+IRdiscount)^Year9</f>
        <v>20.31395526835046</v>
      </c>
      <c r="Q5" s="4">
        <f>(CapCostWB-(Year10*HHYearlyCost))*InterestRate*1/(1+IRdiscount)^Year10</f>
        <v>0</v>
      </c>
    </row>
    <row r="6" spans="1:17" ht="16.5">
      <c r="A6" s="15"/>
      <c r="B6" s="19" t="s">
        <v>16</v>
      </c>
      <c r="C6" s="19">
        <f>CapCostPellet</f>
        <v>4900</v>
      </c>
      <c r="D6" s="19">
        <f>C6/10</f>
        <v>490</v>
      </c>
      <c r="E6" s="26"/>
      <c r="F6" s="61">
        <f>SUM(G6:Q6)</f>
        <v>1782.522021143768</v>
      </c>
      <c r="G6" s="9">
        <f>CapCostPellet*InterestRate*1/(1+IRdiscount)^year0</f>
        <v>382.2</v>
      </c>
      <c r="H6" s="66">
        <f>(CapCostPellet-(Year1*HHyearlycostPellet))*InterestRate*1/(1+IRdiscount)^Year1</f>
        <v>324.50943396226415</v>
      </c>
      <c r="I6" s="66">
        <f>(CapCostPellet-(Year2*HHyearlycostPellet))*InterestRate*(1/(1+IRdiscount)^Year2)</f>
        <v>272.12531149875394</v>
      </c>
      <c r="J6" s="66">
        <f>(CapCostPellet-(Year3*HHyearlycostPellet))*InterestRate*1/(1+IRdiscount)^Year3</f>
        <v>224.631742982462</v>
      </c>
      <c r="K6" s="66">
        <f>(CapCostPellet-(Year4*HHyearlycostPellet))*InterestRate*1/(1+IRdiscount)^Year4</f>
        <v>181.64291885374283</v>
      </c>
      <c r="L6" s="66">
        <f>(CapCostPellet-(Year5*HHyearlycostPellet))*InterestRate*1/(1+IRdiscount)^Year5</f>
        <v>142.80103683470347</v>
      </c>
      <c r="M6" s="66">
        <f>(CapCostPellet-(Year6*HHyearlycostPellet))*InterestRate*1/(1+IRdiscount)^Year6</f>
        <v>107.77436742241771</v>
      </c>
      <c r="N6" s="66">
        <f>(CapCostPellet-(Year7*HHyearlycostPellet))*InterestRate*1/(1+IRdiscount)^Year7</f>
        <v>76.25544864793704</v>
      </c>
      <c r="O6" s="66">
        <f>(CapCostPellet-(Year8*HHyearlycostPellet))*InterestRate*1/(1+IRdiscount)^Year8</f>
        <v>47.959401665369214</v>
      </c>
      <c r="P6" s="66">
        <f>(CapCostPellet-(Year9*HHyearlycostPellet))*InterestRate*1/(1+IRdiscount)^Year9</f>
        <v>22.622359276117557</v>
      </c>
      <c r="Q6" s="4">
        <f>(CapCostPellet-(Year10*HHyearlycostPellet))*InterestRate*1/(1+IRdiscount)^Year10</f>
        <v>0</v>
      </c>
    </row>
    <row r="7" spans="1:17" ht="16.5">
      <c r="A7" s="15"/>
      <c r="B7" s="19" t="s">
        <v>17</v>
      </c>
      <c r="C7" s="19">
        <f>CapCostHP</f>
        <v>3400</v>
      </c>
      <c r="D7" s="19">
        <f>C7/10</f>
        <v>340</v>
      </c>
      <c r="E7" s="26"/>
      <c r="F7" s="61">
        <f>SUM(G7:Q7)</f>
        <v>1236.8520146711858</v>
      </c>
      <c r="G7" s="9">
        <f>CapCostHP*InterestRate*1/(1+IRdiscount)^year0</f>
        <v>265.2</v>
      </c>
      <c r="H7" s="66">
        <f>(CapCostHP-(Year1*HHyearlycostHP))*InterestRate*1/(1+IRdiscount)^Year1</f>
        <v>225.16981132075472</v>
      </c>
      <c r="I7" s="66">
        <f>(CapCostHP-(Year2*HHyearlycostHP))*InterestRate*(1/(1+IRdiscount)^Year2)</f>
        <v>188.8216447134211</v>
      </c>
      <c r="J7" s="66">
        <f>(CapCostHP-(Year3*HHyearlycostHP))*InterestRate*1/(1+IRdiscount)^Year3</f>
        <v>155.86692370211645</v>
      </c>
      <c r="K7" s="66">
        <f>(CapCostHP-(Year4*HHyearlycostHP))*InterestRate*1/(1+IRdiscount)^Year4</f>
        <v>126.0379436944338</v>
      </c>
      <c r="L7" s="66">
        <f>(CapCostHP-(Year5*HHyearlycostHP))*InterestRate*1/(1+IRdiscount)^Year5</f>
        <v>99.08643372203915</v>
      </c>
      <c r="M7" s="66">
        <f>(CapCostHP-(Year6*HHyearlycostHP))*InterestRate*1/(1+IRdiscount)^Year6</f>
        <v>74.78221412984085</v>
      </c>
      <c r="N7" s="66">
        <f>(CapCostHP-(Year7*HHyearlycostHP))*InterestRate*1/(1+IRdiscount)^Year7</f>
        <v>52.91194395979306</v>
      </c>
      <c r="O7" s="66">
        <f>(CapCostHP-(Year8*HHyearlycostHP))*InterestRate*1/(1+IRdiscount)^Year8</f>
        <v>33.277952175970476</v>
      </c>
      <c r="P7" s="66">
        <f>(CapCostHP-(Year9*HHyearlycostHP))*InterestRate*1/(1+IRdiscount)^Year9</f>
        <v>15.697147252816263</v>
      </c>
      <c r="Q7" s="4">
        <f>(CapCostHP-(Year10*HHyearlycostHP))*InterestRate*1/(1+IRdiscount)^Year10</f>
        <v>0</v>
      </c>
    </row>
    <row r="8" spans="1:17" ht="16.5">
      <c r="A8" s="15"/>
      <c r="B8" s="19" t="s">
        <v>18</v>
      </c>
      <c r="C8" s="19">
        <f>CapCostGas</f>
        <v>3900</v>
      </c>
      <c r="D8" s="19">
        <f>C8/10</f>
        <v>390</v>
      </c>
      <c r="E8" s="26"/>
      <c r="F8" s="61">
        <f>SUM(G8:Q8)</f>
        <v>1418.742016828713</v>
      </c>
      <c r="G8" s="9">
        <f>CapCostGas*InterestRate*1/(1+IRdiscount)^year0</f>
        <v>304.2</v>
      </c>
      <c r="H8" s="66">
        <f>(CapCostGas-(Year1*HHyearlycostGas))*InterestRate*1/(1+IRdiscount)^Year1</f>
        <v>258.2830188679245</v>
      </c>
      <c r="I8" s="66">
        <f>(CapCostGas-(Year2*HHyearlycostGas))*InterestRate*(1/(1+IRdiscount)^Year2)</f>
        <v>216.58953364186542</v>
      </c>
      <c r="J8" s="66">
        <f>(CapCostGas-(Year3*HHyearlycostGas))*InterestRate*1/(1+IRdiscount)^Year3</f>
        <v>178.78853012889832</v>
      </c>
      <c r="K8" s="66">
        <f>(CapCostGas-(Year4*HHyearlycostGas))*InterestRate*1/(1+IRdiscount)^Year4</f>
        <v>144.5729354142035</v>
      </c>
      <c r="L8" s="66">
        <f>(CapCostGas-(Year5*HHyearlycostGas))*InterestRate*1/(1+IRdiscount)^Year5</f>
        <v>113.65796809292725</v>
      </c>
      <c r="M8" s="66">
        <f>(CapCostGas-(Year6*HHyearlycostGas))*InterestRate*1/(1+IRdiscount)^Year6</f>
        <v>85.77959856069981</v>
      </c>
      <c r="N8" s="66">
        <f>(CapCostGas-(Year7*HHyearlycostGas))*InterestRate*1/(1+IRdiscount)^Year7</f>
        <v>60.693112189174386</v>
      </c>
      <c r="O8" s="66">
        <f>(CapCostGas-(Year8*HHyearlycostGas))*InterestRate*1/(1+IRdiscount)^Year8</f>
        <v>38.17176867243673</v>
      </c>
      <c r="P8" s="66">
        <f>(CapCostGas-(Year9*HHyearlycostGas))*InterestRate*1/(1+IRdiscount)^Year9</f>
        <v>18.00555126058336</v>
      </c>
      <c r="Q8" s="4">
        <f>(CapCostGas-(Year10*HHyearlycostGas))*InterestRate*1/(1+IRdiscount)^Year10</f>
        <v>0</v>
      </c>
    </row>
    <row r="9" spans="1:17" ht="16.5">
      <c r="A9" s="15"/>
      <c r="B9" s="19" t="s">
        <v>19</v>
      </c>
      <c r="C9" s="19">
        <f>CapCostDiesel</f>
        <v>4600</v>
      </c>
      <c r="D9" s="19">
        <f>C9/10</f>
        <v>460</v>
      </c>
      <c r="E9" s="19"/>
      <c r="F9" s="61">
        <f>SUM(G9:Q9)</f>
        <v>1673.3880198492518</v>
      </c>
      <c r="G9" s="9">
        <f>CapCostDiesel*InterestRate*1/(1+IRdiscount)^year0</f>
        <v>358.8</v>
      </c>
      <c r="H9" s="66">
        <f>(CapCostDiesel-(Year1*HHyearlycostDiesel))*InterestRate*1/(1+IRdiscount)^Year1</f>
        <v>304.64150943396226</v>
      </c>
      <c r="I9" s="66">
        <f>(CapCostDiesel-(Year2*HHyearlycostDiesel))*InterestRate*(1/(1+IRdiscount)^Year2)</f>
        <v>255.4645781416874</v>
      </c>
      <c r="J9" s="66">
        <f>(CapCostDiesel-(Year3*HHyearlycostDiesel))*InterestRate*1/(1+IRdiscount)^Year3</f>
        <v>210.87877912639289</v>
      </c>
      <c r="K9" s="66">
        <f>(CapCostDiesel-(Year4*HHyearlycostDiesel))*InterestRate*1/(1+IRdiscount)^Year4</f>
        <v>170.52192382188105</v>
      </c>
      <c r="L9" s="66">
        <f>(CapCostDiesel-(Year5*HHyearlycostDiesel))*InterestRate*1/(1+IRdiscount)^Year5</f>
        <v>134.0581162121706</v>
      </c>
      <c r="M9" s="66">
        <f>(CapCostDiesel-(Year6*HHyearlycostDiesel))*InterestRate*1/(1+IRdiscount)^Year6</f>
        <v>101.17593676390234</v>
      </c>
      <c r="N9" s="66">
        <f>(CapCostDiesel-(Year7*HHyearlycostDiesel))*InterestRate*1/(1+IRdiscount)^Year7</f>
        <v>71.58674771030825</v>
      </c>
      <c r="O9" s="66">
        <f>(CapCostDiesel-(Year8*HHyearlycostDiesel))*InterestRate*1/(1+IRdiscount)^Year8</f>
        <v>45.023111767489475</v>
      </c>
      <c r="P9" s="66">
        <f>(CapCostDiesel-(Year9*HHyearlycostDiesel))*InterestRate*1/(1+IRdiscount)^Year9</f>
        <v>21.2373168714573</v>
      </c>
      <c r="Q9" s="4">
        <f>(CapCostDiesel-(Year10*HHyearlycostDiesel))*InterestRate*1/(1+IRdiscount)^Year10</f>
        <v>0</v>
      </c>
    </row>
    <row r="10" spans="1:17" ht="16.5">
      <c r="A10" s="56" t="s">
        <v>50</v>
      </c>
      <c r="B10" s="57"/>
      <c r="C10" s="57"/>
      <c r="D10" s="57"/>
      <c r="E10" s="57"/>
      <c r="F10" s="58"/>
      <c r="G10" s="64"/>
      <c r="H10" s="64"/>
      <c r="I10" s="64"/>
      <c r="J10" s="64"/>
      <c r="K10" s="64"/>
      <c r="L10" s="64"/>
      <c r="M10" s="64"/>
      <c r="N10" s="64"/>
      <c r="O10" s="64"/>
      <c r="P10" s="64"/>
      <c r="Q10" s="65"/>
    </row>
    <row r="11" spans="1:17" ht="16.5">
      <c r="A11" s="15"/>
      <c r="B11" s="19" t="s">
        <v>15</v>
      </c>
      <c r="C11" s="19">
        <f>IF(CapCostWB+InsulationCost&gt;IFmaxSub,IFmaxSub,InsulationCost+CapCostWB)</f>
        <v>5000</v>
      </c>
      <c r="D11" s="19">
        <f aca="true" t="shared" si="0" ref="D11:D16">C11/10</f>
        <v>500</v>
      </c>
      <c r="E11" s="19"/>
      <c r="F11" s="61">
        <f aca="true" t="shared" si="1" ref="F11:F16">SUM(G11:Q11)</f>
        <v>1818.900021575274</v>
      </c>
      <c r="G11" s="9">
        <f aca="true" t="shared" si="2" ref="G11:G16">C11*InterestRate*1/(1+IRdiscount)^year0</f>
        <v>390</v>
      </c>
      <c r="H11" s="66">
        <f aca="true" t="shared" si="3" ref="H11:H16">(C11-(Year1*$D11))*InterestRate*1/(1+IRdiscount)^Year1</f>
        <v>331.1320754716981</v>
      </c>
      <c r="I11" s="66">
        <f aca="true" t="shared" si="4" ref="I11:I16">(C11-(Year2*D11))*InterestRate*(1/(1+IRdiscount)^Year2)</f>
        <v>277.67888928444285</v>
      </c>
      <c r="J11" s="66">
        <f aca="true" t="shared" si="5" ref="J11:J16">(C11-(Year3*D11))*InterestRate*1/(1+IRdiscount)^Year3</f>
        <v>229.21606426781835</v>
      </c>
      <c r="K11" s="66">
        <f aca="true" t="shared" si="6" ref="K11:K16">(C11-(Year4*D11))*InterestRate*1/(1+IRdiscount)^Year4</f>
        <v>185.34991719769678</v>
      </c>
      <c r="L11" s="66">
        <f aca="true" t="shared" si="7" ref="L11:L16">(C11-(Year5*D11))*InterestRate*1/(1+IRdiscount)^Year5</f>
        <v>145.7153437088811</v>
      </c>
      <c r="M11" s="66">
        <f aca="true" t="shared" si="8" ref="M11:M16">(C11-(Year6*D11))*InterestRate*1/(1+IRdiscount)^Year6</f>
        <v>109.9738443085895</v>
      </c>
      <c r="N11" s="66">
        <f aca="true" t="shared" si="9" ref="N11:N16">(C11-(Year7*D11))*InterestRate*1/(1+IRdiscount)^Year7</f>
        <v>77.81168229381332</v>
      </c>
      <c r="O11" s="66">
        <f aca="true" t="shared" si="10" ref="O11:O16">(C11-(Year8*D11))*InterestRate*1/(1+IRdiscount)^Year8</f>
        <v>48.93816496466247</v>
      </c>
      <c r="P11" s="66">
        <f aca="true" t="shared" si="11" ref="P11:P16">(C11-(Year9*D11))*InterestRate*1/(1+IRdiscount)^Year9</f>
        <v>23.084040077670974</v>
      </c>
      <c r="Q11" s="4">
        <f aca="true" t="shared" si="12" ref="Q11:Q16">(C11-(Year10*D11))*InterestRate*1/(1+IRdiscount)^Year10</f>
        <v>0</v>
      </c>
    </row>
    <row r="12" spans="1:17" s="41" customFormat="1" ht="16.5">
      <c r="A12" s="59"/>
      <c r="B12" s="19" t="s">
        <v>16</v>
      </c>
      <c r="C12" s="19">
        <f>IF(CapCostPellet+InsulationCost&gt;IFmaxSub,IFmaxSub,InsulationCost+CapCostPellet)</f>
        <v>5000</v>
      </c>
      <c r="D12" s="19">
        <f t="shared" si="0"/>
        <v>500</v>
      </c>
      <c r="E12" s="60"/>
      <c r="F12" s="61">
        <f t="shared" si="1"/>
        <v>1818.900021575274</v>
      </c>
      <c r="G12" s="9">
        <f t="shared" si="2"/>
        <v>390</v>
      </c>
      <c r="H12" s="66">
        <f t="shared" si="3"/>
        <v>331.1320754716981</v>
      </c>
      <c r="I12" s="66">
        <f t="shared" si="4"/>
        <v>277.67888928444285</v>
      </c>
      <c r="J12" s="66">
        <f t="shared" si="5"/>
        <v>229.21606426781835</v>
      </c>
      <c r="K12" s="66">
        <f t="shared" si="6"/>
        <v>185.34991719769678</v>
      </c>
      <c r="L12" s="66">
        <f t="shared" si="7"/>
        <v>145.7153437088811</v>
      </c>
      <c r="M12" s="66">
        <f t="shared" si="8"/>
        <v>109.9738443085895</v>
      </c>
      <c r="N12" s="66">
        <f t="shared" si="9"/>
        <v>77.81168229381332</v>
      </c>
      <c r="O12" s="66">
        <f t="shared" si="10"/>
        <v>48.93816496466247</v>
      </c>
      <c r="P12" s="66">
        <f t="shared" si="11"/>
        <v>23.084040077670974</v>
      </c>
      <c r="Q12" s="4">
        <f t="shared" si="12"/>
        <v>0</v>
      </c>
    </row>
    <row r="13" spans="1:17" ht="16.5">
      <c r="A13" s="15"/>
      <c r="B13" s="19" t="s">
        <v>17</v>
      </c>
      <c r="C13" s="19">
        <f>IF(CapCostHP+InsulationCost&gt;IFmaxSub,IFmaxSub,InsulationCost+CapCostHP)</f>
        <v>5000</v>
      </c>
      <c r="D13" s="19">
        <f t="shared" si="0"/>
        <v>500</v>
      </c>
      <c r="E13" s="19"/>
      <c r="F13" s="61">
        <f t="shared" si="1"/>
        <v>1818.900021575274</v>
      </c>
      <c r="G13" s="9">
        <f t="shared" si="2"/>
        <v>390</v>
      </c>
      <c r="H13" s="66">
        <f t="shared" si="3"/>
        <v>331.1320754716981</v>
      </c>
      <c r="I13" s="66">
        <f t="shared" si="4"/>
        <v>277.67888928444285</v>
      </c>
      <c r="J13" s="66">
        <f t="shared" si="5"/>
        <v>229.21606426781835</v>
      </c>
      <c r="K13" s="66">
        <f t="shared" si="6"/>
        <v>185.34991719769678</v>
      </c>
      <c r="L13" s="66">
        <f t="shared" si="7"/>
        <v>145.7153437088811</v>
      </c>
      <c r="M13" s="66">
        <f t="shared" si="8"/>
        <v>109.9738443085895</v>
      </c>
      <c r="N13" s="66">
        <f t="shared" si="9"/>
        <v>77.81168229381332</v>
      </c>
      <c r="O13" s="66">
        <f t="shared" si="10"/>
        <v>48.93816496466247</v>
      </c>
      <c r="P13" s="66">
        <f t="shared" si="11"/>
        <v>23.084040077670974</v>
      </c>
      <c r="Q13" s="4">
        <f t="shared" si="12"/>
        <v>0</v>
      </c>
    </row>
    <row r="14" spans="1:17" ht="16.5">
      <c r="A14" s="15"/>
      <c r="B14" s="19" t="s">
        <v>18</v>
      </c>
      <c r="C14" s="19">
        <f>IF(CapCostGas+InsulationCost&gt;IFmaxSub,IFmaxSub,InsulationCost+CapCostGas)</f>
        <v>5000</v>
      </c>
      <c r="D14" s="19">
        <f t="shared" si="0"/>
        <v>500</v>
      </c>
      <c r="E14" s="19"/>
      <c r="F14" s="61">
        <f t="shared" si="1"/>
        <v>1818.900021575274</v>
      </c>
      <c r="G14" s="9">
        <f t="shared" si="2"/>
        <v>390</v>
      </c>
      <c r="H14" s="66">
        <f t="shared" si="3"/>
        <v>331.1320754716981</v>
      </c>
      <c r="I14" s="66">
        <f t="shared" si="4"/>
        <v>277.67888928444285</v>
      </c>
      <c r="J14" s="66">
        <f t="shared" si="5"/>
        <v>229.21606426781835</v>
      </c>
      <c r="K14" s="66">
        <f t="shared" si="6"/>
        <v>185.34991719769678</v>
      </c>
      <c r="L14" s="66">
        <f t="shared" si="7"/>
        <v>145.7153437088811</v>
      </c>
      <c r="M14" s="66">
        <f t="shared" si="8"/>
        <v>109.9738443085895</v>
      </c>
      <c r="N14" s="66">
        <f t="shared" si="9"/>
        <v>77.81168229381332</v>
      </c>
      <c r="O14" s="66">
        <f t="shared" si="10"/>
        <v>48.93816496466247</v>
      </c>
      <c r="P14" s="66">
        <f t="shared" si="11"/>
        <v>23.084040077670974</v>
      </c>
      <c r="Q14" s="4">
        <f t="shared" si="12"/>
        <v>0</v>
      </c>
    </row>
    <row r="15" spans="1:17" ht="16.5">
      <c r="A15" s="15"/>
      <c r="B15" s="19" t="s">
        <v>19</v>
      </c>
      <c r="C15" s="19">
        <f>IF(CapCostDiesel+InsulationCost&gt;IFmaxSub,IFmaxSub,InsulationCost+CapCostDiesel)</f>
        <v>5000</v>
      </c>
      <c r="D15" s="19">
        <f t="shared" si="0"/>
        <v>500</v>
      </c>
      <c r="E15" s="19"/>
      <c r="F15" s="61">
        <f t="shared" si="1"/>
        <v>1818.900021575274</v>
      </c>
      <c r="G15" s="9">
        <f t="shared" si="2"/>
        <v>390</v>
      </c>
      <c r="H15" s="66">
        <f t="shared" si="3"/>
        <v>331.1320754716981</v>
      </c>
      <c r="I15" s="66">
        <f t="shared" si="4"/>
        <v>277.67888928444285</v>
      </c>
      <c r="J15" s="66">
        <f t="shared" si="5"/>
        <v>229.21606426781835</v>
      </c>
      <c r="K15" s="66">
        <f t="shared" si="6"/>
        <v>185.34991719769678</v>
      </c>
      <c r="L15" s="66">
        <f t="shared" si="7"/>
        <v>145.7153437088811</v>
      </c>
      <c r="M15" s="66">
        <f t="shared" si="8"/>
        <v>109.9738443085895</v>
      </c>
      <c r="N15" s="66">
        <f t="shared" si="9"/>
        <v>77.81168229381332</v>
      </c>
      <c r="O15" s="66">
        <f t="shared" si="10"/>
        <v>48.93816496466247</v>
      </c>
      <c r="P15" s="66">
        <f t="shared" si="11"/>
        <v>23.084040077670974</v>
      </c>
      <c r="Q15" s="4">
        <f t="shared" si="12"/>
        <v>0</v>
      </c>
    </row>
    <row r="16" spans="1:17" ht="16.5">
      <c r="A16" s="15"/>
      <c r="B16" s="19" t="s">
        <v>52</v>
      </c>
      <c r="C16" s="19">
        <f>IF((InsulationCost+AdminCost)&gt;IFmaxSub,IFmaxSub,(InsulationCost+AdminCost))</f>
        <v>2900</v>
      </c>
      <c r="D16" s="19">
        <f t="shared" si="0"/>
        <v>290</v>
      </c>
      <c r="E16" s="19"/>
      <c r="F16" s="61">
        <f t="shared" si="1"/>
        <v>1054.9620125136587</v>
      </c>
      <c r="G16" s="9">
        <f t="shared" si="2"/>
        <v>226.2</v>
      </c>
      <c r="H16" s="66">
        <f t="shared" si="3"/>
        <v>192.0566037735849</v>
      </c>
      <c r="I16" s="66">
        <f t="shared" si="4"/>
        <v>161.05375578497686</v>
      </c>
      <c r="J16" s="66">
        <f t="shared" si="5"/>
        <v>132.94531727533465</v>
      </c>
      <c r="K16" s="66">
        <f t="shared" si="6"/>
        <v>107.50295197466413</v>
      </c>
      <c r="L16" s="66">
        <f t="shared" si="7"/>
        <v>84.51489935115103</v>
      </c>
      <c r="M16" s="66">
        <f t="shared" si="8"/>
        <v>63.784829698981916</v>
      </c>
      <c r="N16" s="66">
        <f t="shared" si="9"/>
        <v>45.13077573041172</v>
      </c>
      <c r="O16" s="66">
        <f t="shared" si="10"/>
        <v>28.384135679504233</v>
      </c>
      <c r="P16" s="66">
        <f t="shared" si="11"/>
        <v>13.388743245049167</v>
      </c>
      <c r="Q16" s="4">
        <f t="shared" si="12"/>
        <v>0</v>
      </c>
    </row>
    <row r="17" spans="1:17" ht="16.5">
      <c r="A17" s="56" t="s">
        <v>42</v>
      </c>
      <c r="B17" s="57"/>
      <c r="C17" s="57"/>
      <c r="D17" s="57"/>
      <c r="E17" s="57"/>
      <c r="F17" s="58"/>
      <c r="G17" s="64"/>
      <c r="H17" s="64"/>
      <c r="I17" s="64"/>
      <c r="J17" s="64"/>
      <c r="K17" s="64"/>
      <c r="L17" s="64"/>
      <c r="M17" s="64"/>
      <c r="N17" s="64"/>
      <c r="O17" s="64"/>
      <c r="P17" s="64"/>
      <c r="Q17" s="65"/>
    </row>
    <row r="18" spans="1:17" ht="16.5">
      <c r="A18" s="15"/>
      <c r="B18" s="19" t="s">
        <v>15</v>
      </c>
      <c r="C18" s="19">
        <f>IF(CapCostWB+InsulationCost-EECAsubInsl-EECAsubCH&gt;IFmaxSub,IFmaxSub,InsulationCost+CapCostWB-EECAsubInsl-EECAsubCH)</f>
        <v>5000</v>
      </c>
      <c r="D18" s="19">
        <f aca="true" t="shared" si="13" ref="D18:D23">C18/10</f>
        <v>500</v>
      </c>
      <c r="E18" s="19"/>
      <c r="F18" s="61">
        <f aca="true" t="shared" si="14" ref="F18:F23">SUM(G18:Q18)</f>
        <v>1818.900021575274</v>
      </c>
      <c r="G18" s="9">
        <f aca="true" t="shared" si="15" ref="G18:G23">C18*InterestRate*1/(1+IRdiscount)^year0</f>
        <v>390</v>
      </c>
      <c r="H18" s="66">
        <f aca="true" t="shared" si="16" ref="H18:H23">(C18-(Year1*$D18))*InterestRate*1/(1+IRdiscount)^Year1</f>
        <v>331.1320754716981</v>
      </c>
      <c r="I18" s="66">
        <f aca="true" t="shared" si="17" ref="I18:I23">(C18-(Year2*D18))*InterestRate*(1/(1+IRdiscount)^Year2)</f>
        <v>277.67888928444285</v>
      </c>
      <c r="J18" s="66">
        <f aca="true" t="shared" si="18" ref="J18:J23">(C18-(Year3*D18))*InterestRate*1/(1+IRdiscount)^Year3</f>
        <v>229.21606426781835</v>
      </c>
      <c r="K18" s="66">
        <f aca="true" t="shared" si="19" ref="K18:K23">(C18-(Year4*D18))*InterestRate*1/(1+IRdiscount)^Year4</f>
        <v>185.34991719769678</v>
      </c>
      <c r="L18" s="66">
        <f aca="true" t="shared" si="20" ref="L18:L23">(C18-(Year5*D18))*InterestRate*1/(1+IRdiscount)^Year5</f>
        <v>145.7153437088811</v>
      </c>
      <c r="M18" s="66">
        <f aca="true" t="shared" si="21" ref="M18:M23">(C18-(Year6*D18))*InterestRate*1/(1+IRdiscount)^Year6</f>
        <v>109.9738443085895</v>
      </c>
      <c r="N18" s="66">
        <f aca="true" t="shared" si="22" ref="N18:N23">(C18-(Year7*D18))*InterestRate*1/(1+IRdiscount)^Year7</f>
        <v>77.81168229381332</v>
      </c>
      <c r="O18" s="66">
        <f aca="true" t="shared" si="23" ref="O18:O23">(C18-(Year8*D18))*InterestRate*1/(1+IRdiscount)^Year8</f>
        <v>48.93816496466247</v>
      </c>
      <c r="P18" s="66">
        <f aca="true" t="shared" si="24" ref="P18:P23">(C18-(Year9*D18))*InterestRate*1/(1+IRdiscount)^Year9</f>
        <v>23.084040077670974</v>
      </c>
      <c r="Q18" s="4">
        <f aca="true" t="shared" si="25" ref="Q18:Q23">(C18-(Year10*D18))*InterestRate*1/(1+IRdiscount)^Year10</f>
        <v>0</v>
      </c>
    </row>
    <row r="19" spans="1:17" s="41" customFormat="1" ht="16.5">
      <c r="A19" s="59"/>
      <c r="B19" s="19" t="s">
        <v>16</v>
      </c>
      <c r="C19" s="19">
        <f>IF(CapCostPellet+InsulationCost-EECAsubInsl-EECAsubCH&gt;IFmaxSub,IFmaxSub,InsulationCost+CapCostPellet-EECAsubInsl-EECAsubCH)</f>
        <v>5000</v>
      </c>
      <c r="D19" s="19">
        <f t="shared" si="13"/>
        <v>500</v>
      </c>
      <c r="E19" s="60"/>
      <c r="F19" s="61">
        <f t="shared" si="14"/>
        <v>1818.900021575274</v>
      </c>
      <c r="G19" s="9">
        <f t="shared" si="15"/>
        <v>390</v>
      </c>
      <c r="H19" s="66">
        <f>(C19-(Year1*$D19))*InterestRate*1/(1+IRdiscount)^Year1</f>
        <v>331.1320754716981</v>
      </c>
      <c r="I19" s="66">
        <f t="shared" si="17"/>
        <v>277.67888928444285</v>
      </c>
      <c r="J19" s="66">
        <f t="shared" si="18"/>
        <v>229.21606426781835</v>
      </c>
      <c r="K19" s="66">
        <f t="shared" si="19"/>
        <v>185.34991719769678</v>
      </c>
      <c r="L19" s="66">
        <f t="shared" si="20"/>
        <v>145.7153437088811</v>
      </c>
      <c r="M19" s="66">
        <f t="shared" si="21"/>
        <v>109.9738443085895</v>
      </c>
      <c r="N19" s="66">
        <f t="shared" si="22"/>
        <v>77.81168229381332</v>
      </c>
      <c r="O19" s="66">
        <f t="shared" si="23"/>
        <v>48.93816496466247</v>
      </c>
      <c r="P19" s="66">
        <f t="shared" si="24"/>
        <v>23.084040077670974</v>
      </c>
      <c r="Q19" s="4">
        <f t="shared" si="25"/>
        <v>0</v>
      </c>
    </row>
    <row r="20" spans="1:17" ht="16.5">
      <c r="A20" s="15"/>
      <c r="B20" s="19" t="s">
        <v>17</v>
      </c>
      <c r="C20" s="19">
        <f>IF(CapCostHP+InsulationCost-EECAsubInsl-EECAsubCH&gt;IFmaxSub,IFmaxSub,InsulationCost+CapCostHP-EECAsubInsl-EECAsubCH)</f>
        <v>4575</v>
      </c>
      <c r="D20" s="19">
        <f t="shared" si="13"/>
        <v>457.5</v>
      </c>
      <c r="E20" s="19"/>
      <c r="F20" s="61">
        <f t="shared" si="14"/>
        <v>1664.2935197413751</v>
      </c>
      <c r="G20" s="9">
        <f t="shared" si="15"/>
        <v>356.85</v>
      </c>
      <c r="H20" s="66">
        <f t="shared" si="16"/>
        <v>302.9858490566038</v>
      </c>
      <c r="I20" s="66">
        <f t="shared" si="17"/>
        <v>254.0761836952652</v>
      </c>
      <c r="J20" s="66">
        <f t="shared" si="18"/>
        <v>209.7326988050538</v>
      </c>
      <c r="K20" s="66">
        <f t="shared" si="19"/>
        <v>169.59517423589256</v>
      </c>
      <c r="L20" s="66">
        <f t="shared" si="20"/>
        <v>133.3295394936262</v>
      </c>
      <c r="M20" s="66">
        <f t="shared" si="21"/>
        <v>100.6260675423594</v>
      </c>
      <c r="N20" s="66">
        <f t="shared" si="22"/>
        <v>71.1976892988392</v>
      </c>
      <c r="O20" s="66">
        <f t="shared" si="23"/>
        <v>44.77842094266616</v>
      </c>
      <c r="P20" s="66">
        <f t="shared" si="24"/>
        <v>21.121896671068942</v>
      </c>
      <c r="Q20" s="4">
        <f t="shared" si="25"/>
        <v>0</v>
      </c>
    </row>
    <row r="21" spans="1:17" ht="16.5">
      <c r="A21" s="15"/>
      <c r="B21" s="19" t="s">
        <v>18</v>
      </c>
      <c r="C21" s="19">
        <f>IF(CapCostGas+InsulationCost-EECAsubInsl-EECAsubCH&gt;IFmaxSub,IFmaxSub,InsulationCost+CapCostGas-EECAsubInsl-EECAsubCH)</f>
        <v>5000</v>
      </c>
      <c r="D21" s="19">
        <f t="shared" si="13"/>
        <v>500</v>
      </c>
      <c r="E21" s="19"/>
      <c r="F21" s="61">
        <f t="shared" si="14"/>
        <v>1818.900021575274</v>
      </c>
      <c r="G21" s="9">
        <f t="shared" si="15"/>
        <v>390</v>
      </c>
      <c r="H21" s="66">
        <f t="shared" si="16"/>
        <v>331.1320754716981</v>
      </c>
      <c r="I21" s="66">
        <f t="shared" si="17"/>
        <v>277.67888928444285</v>
      </c>
      <c r="J21" s="66">
        <f t="shared" si="18"/>
        <v>229.21606426781835</v>
      </c>
      <c r="K21" s="66">
        <f t="shared" si="19"/>
        <v>185.34991719769678</v>
      </c>
      <c r="L21" s="66">
        <f t="shared" si="20"/>
        <v>145.7153437088811</v>
      </c>
      <c r="M21" s="66">
        <f t="shared" si="21"/>
        <v>109.9738443085895</v>
      </c>
      <c r="N21" s="66">
        <f t="shared" si="22"/>
        <v>77.81168229381332</v>
      </c>
      <c r="O21" s="66">
        <f t="shared" si="23"/>
        <v>48.93816496466247</v>
      </c>
      <c r="P21" s="66">
        <f t="shared" si="24"/>
        <v>23.084040077670974</v>
      </c>
      <c r="Q21" s="4">
        <f t="shared" si="25"/>
        <v>0</v>
      </c>
    </row>
    <row r="22" spans="1:17" ht="16.5">
      <c r="A22" s="15"/>
      <c r="B22" s="19" t="s">
        <v>19</v>
      </c>
      <c r="C22" s="19">
        <f>IF(CapCostDiesel+InsulationCost-EECAsubInsl-EECAsubCH&gt;IFmaxSub,IFmaxSub,InsulationCost+CapCostDiesel-EECAsubInsl-EECAsubCH)</f>
        <v>5000</v>
      </c>
      <c r="D22" s="19">
        <f t="shared" si="13"/>
        <v>500</v>
      </c>
      <c r="E22" s="19"/>
      <c r="F22" s="61">
        <f t="shared" si="14"/>
        <v>1818.900021575274</v>
      </c>
      <c r="G22" s="9">
        <f t="shared" si="15"/>
        <v>390</v>
      </c>
      <c r="H22" s="66">
        <f t="shared" si="16"/>
        <v>331.1320754716981</v>
      </c>
      <c r="I22" s="66">
        <f t="shared" si="17"/>
        <v>277.67888928444285</v>
      </c>
      <c r="J22" s="66">
        <f t="shared" si="18"/>
        <v>229.21606426781835</v>
      </c>
      <c r="K22" s="66">
        <f t="shared" si="19"/>
        <v>185.34991719769678</v>
      </c>
      <c r="L22" s="66">
        <f t="shared" si="20"/>
        <v>145.7153437088811</v>
      </c>
      <c r="M22" s="66">
        <f t="shared" si="21"/>
        <v>109.9738443085895</v>
      </c>
      <c r="N22" s="66">
        <f t="shared" si="22"/>
        <v>77.81168229381332</v>
      </c>
      <c r="O22" s="66">
        <f t="shared" si="23"/>
        <v>48.93816496466247</v>
      </c>
      <c r="P22" s="66">
        <f t="shared" si="24"/>
        <v>23.084040077670974</v>
      </c>
      <c r="Q22" s="4">
        <f t="shared" si="25"/>
        <v>0</v>
      </c>
    </row>
    <row r="23" spans="1:17" ht="16.5">
      <c r="A23" s="15"/>
      <c r="B23" s="19" t="s">
        <v>52</v>
      </c>
      <c r="C23" s="19">
        <f>IF(InsulationCost+AdminCost-EECAsubInsl&gt;IFmaxSub,IFmaxSub,InsulationCost+AdminCost-EECAsubInsl)</f>
        <v>2075</v>
      </c>
      <c r="D23" s="19">
        <f t="shared" si="13"/>
        <v>207.5</v>
      </c>
      <c r="E23" s="19"/>
      <c r="F23" s="61">
        <f t="shared" si="14"/>
        <v>754.8435089537385</v>
      </c>
      <c r="G23" s="9">
        <f t="shared" si="15"/>
        <v>161.85</v>
      </c>
      <c r="H23" s="66">
        <f t="shared" si="16"/>
        <v>137.4198113207547</v>
      </c>
      <c r="I23" s="66">
        <f t="shared" si="17"/>
        <v>115.23673905304376</v>
      </c>
      <c r="J23" s="66">
        <f t="shared" si="18"/>
        <v>95.12466667114461</v>
      </c>
      <c r="K23" s="66">
        <f t="shared" si="19"/>
        <v>76.92021563704417</v>
      </c>
      <c r="L23" s="66">
        <f t="shared" si="20"/>
        <v>60.47186763918565</v>
      </c>
      <c r="M23" s="66">
        <f t="shared" si="21"/>
        <v>45.63914538806464</v>
      </c>
      <c r="N23" s="66">
        <f t="shared" si="22"/>
        <v>32.29184815193253</v>
      </c>
      <c r="O23" s="66">
        <f t="shared" si="23"/>
        <v>20.30933846033492</v>
      </c>
      <c r="P23" s="66">
        <f t="shared" si="24"/>
        <v>9.579876632233454</v>
      </c>
      <c r="Q23" s="4">
        <f t="shared" si="25"/>
        <v>0</v>
      </c>
    </row>
    <row r="24" spans="1:17" ht="16.5">
      <c r="A24" s="56" t="s">
        <v>43</v>
      </c>
      <c r="B24" s="57"/>
      <c r="C24" s="57"/>
      <c r="D24" s="57"/>
      <c r="E24" s="57"/>
      <c r="F24" s="58"/>
      <c r="G24" s="64"/>
      <c r="H24" s="64"/>
      <c r="I24" s="64"/>
      <c r="J24" s="64"/>
      <c r="K24" s="64"/>
      <c r="L24" s="64"/>
      <c r="M24" s="64"/>
      <c r="N24" s="64"/>
      <c r="O24" s="64"/>
      <c r="P24" s="64"/>
      <c r="Q24" s="65"/>
    </row>
    <row r="25" spans="1:17" ht="16.5">
      <c r="A25" s="15"/>
      <c r="B25" s="19" t="s">
        <v>15</v>
      </c>
      <c r="C25" s="19">
        <f>IF(CapCostWB+InsulationCost-EECAsubCSInsl-EECAsubCHcs&gt;IFmaxSub,IFmaxSub,InsulationCost+CapCostWB-EECAsubCSInsl-EECAsubCHcs)</f>
        <v>4200</v>
      </c>
      <c r="D25" s="19">
        <f aca="true" t="shared" si="26" ref="D25:D30">C25/10</f>
        <v>420</v>
      </c>
      <c r="E25" s="19"/>
      <c r="F25" s="61">
        <f aca="true" t="shared" si="27" ref="F25:F30">SUM(G25:Q25)</f>
        <v>1527.8760181232294</v>
      </c>
      <c r="G25" s="9">
        <f aca="true" t="shared" si="28" ref="G25:G30">C25*InterestRate*1/(1+IRdiscount)^year0</f>
        <v>327.6</v>
      </c>
      <c r="H25" s="66">
        <f aca="true" t="shared" si="29" ref="H25:H30">(C25-(Year1*$D25))*InterestRate*1/(1+IRdiscount)^Year1</f>
        <v>278.15094339622635</v>
      </c>
      <c r="I25" s="66">
        <f aca="true" t="shared" si="30" ref="I25:I30">(C25-(Year2*D25))*InterestRate*(1/(1+IRdiscount)^Year2)</f>
        <v>233.25026699893195</v>
      </c>
      <c r="J25" s="66">
        <f aca="true" t="shared" si="31" ref="J25:J30">(C25-(Year3*D25))*InterestRate*1/(1+IRdiscount)^Year3</f>
        <v>192.5414939849674</v>
      </c>
      <c r="K25" s="66">
        <f aca="true" t="shared" si="32" ref="K25:K30">(C25-(Year4*D25))*InterestRate*1/(1+IRdiscount)^Year4</f>
        <v>155.69393044606528</v>
      </c>
      <c r="L25" s="66">
        <f aca="true" t="shared" si="33" ref="L25:L30">(C25-(Year5*D25))*InterestRate*1/(1+IRdiscount)^Year5</f>
        <v>122.40088871546013</v>
      </c>
      <c r="M25" s="66">
        <f aca="true" t="shared" si="34" ref="M25:M30">(C25-(Year6*D25))*InterestRate*1/(1+IRdiscount)^Year6</f>
        <v>92.37802921921518</v>
      </c>
      <c r="N25" s="66">
        <f aca="true" t="shared" si="35" ref="N25:N30">(C25-(Year7*D25))*InterestRate*1/(1+IRdiscount)^Year7</f>
        <v>65.36181312680318</v>
      </c>
      <c r="O25" s="66">
        <f aca="true" t="shared" si="36" ref="O25:O30">(C25-(Year8*D25))*InterestRate*1/(1+IRdiscount)^Year8</f>
        <v>41.10805857031647</v>
      </c>
      <c r="P25" s="66">
        <f aca="true" t="shared" si="37" ref="P25:P30">(C25-(Year9*D25))*InterestRate*1/(1+IRdiscount)^Year9</f>
        <v>19.390593665243617</v>
      </c>
      <c r="Q25" s="4">
        <f aca="true" t="shared" si="38" ref="Q25:Q30">(C25-(Year10*D25))*InterestRate*1/(1+IRdiscount)^Year10</f>
        <v>0</v>
      </c>
    </row>
    <row r="26" spans="1:17" s="41" customFormat="1" ht="16.5">
      <c r="A26" s="59"/>
      <c r="B26" s="19" t="s">
        <v>16</v>
      </c>
      <c r="C26" s="19">
        <f>IF(CapCostPellet+InsulationCost-EECAsubCSInsl-EECAsubCHcs&gt;IFmaxSub,IFmaxSub,InsulationCost+CapCostPellet-EECAsubCSInsl-EECAsubCHcs)</f>
        <v>4700</v>
      </c>
      <c r="D26" s="19">
        <f t="shared" si="26"/>
        <v>470</v>
      </c>
      <c r="E26" s="60"/>
      <c r="F26" s="61">
        <f t="shared" si="27"/>
        <v>1709.7660202807572</v>
      </c>
      <c r="G26" s="9">
        <f t="shared" si="28"/>
        <v>366.6</v>
      </c>
      <c r="H26" s="66">
        <f t="shared" si="29"/>
        <v>311.2641509433962</v>
      </c>
      <c r="I26" s="66">
        <f t="shared" si="30"/>
        <v>261.01815592737626</v>
      </c>
      <c r="J26" s="66">
        <f t="shared" si="31"/>
        <v>215.46310041174925</v>
      </c>
      <c r="K26" s="66">
        <f t="shared" si="32"/>
        <v>174.22892216583497</v>
      </c>
      <c r="L26" s="66">
        <f t="shared" si="33"/>
        <v>136.97242308634824</v>
      </c>
      <c r="M26" s="66">
        <f t="shared" si="34"/>
        <v>103.37541365007412</v>
      </c>
      <c r="N26" s="66">
        <f t="shared" si="35"/>
        <v>73.14298135618452</v>
      </c>
      <c r="O26" s="66">
        <f t="shared" si="36"/>
        <v>46.001875066782716</v>
      </c>
      <c r="P26" s="66">
        <f t="shared" si="37"/>
        <v>21.698997673010716</v>
      </c>
      <c r="Q26" s="4">
        <f t="shared" si="38"/>
        <v>0</v>
      </c>
    </row>
    <row r="27" spans="1:17" ht="16.5">
      <c r="A27" s="15"/>
      <c r="B27" s="19" t="s">
        <v>17</v>
      </c>
      <c r="C27" s="19">
        <f>IF(CapCostHP+InsulationCost-EECAsubCSInsl-EECAsubCHcs&gt;IFmaxSub,IFmaxSub,InsulationCost+CapCostHP-EECAsubCSInsl-EECAsubCHcs)</f>
        <v>3200</v>
      </c>
      <c r="D27" s="19">
        <f t="shared" si="26"/>
        <v>320</v>
      </c>
      <c r="E27" s="19"/>
      <c r="F27" s="61">
        <f t="shared" si="27"/>
        <v>1164.096013808175</v>
      </c>
      <c r="G27" s="9">
        <f t="shared" si="28"/>
        <v>249.6</v>
      </c>
      <c r="H27" s="66">
        <f t="shared" si="29"/>
        <v>211.92452830188677</v>
      </c>
      <c r="I27" s="66">
        <f t="shared" si="30"/>
        <v>177.71448914204342</v>
      </c>
      <c r="J27" s="66">
        <f t="shared" si="31"/>
        <v>146.69828113140375</v>
      </c>
      <c r="K27" s="66">
        <f t="shared" si="32"/>
        <v>118.62394700652592</v>
      </c>
      <c r="L27" s="66">
        <f t="shared" si="33"/>
        <v>93.2578199736839</v>
      </c>
      <c r="M27" s="66">
        <f t="shared" si="34"/>
        <v>70.38326035749728</v>
      </c>
      <c r="N27" s="66">
        <f t="shared" si="35"/>
        <v>49.79947666804052</v>
      </c>
      <c r="O27" s="66">
        <f t="shared" si="36"/>
        <v>31.32042557738398</v>
      </c>
      <c r="P27" s="66">
        <f t="shared" si="37"/>
        <v>14.773785649709424</v>
      </c>
      <c r="Q27" s="4">
        <f t="shared" si="38"/>
        <v>0</v>
      </c>
    </row>
    <row r="28" spans="1:17" ht="16.5">
      <c r="A28" s="15"/>
      <c r="B28" s="19" t="s">
        <v>18</v>
      </c>
      <c r="C28" s="19">
        <f>IF(CapCostGas+InsulationCost-EECAsubCSInsl-EECAsubCHcs&gt;IFmaxSub,IFmaxSub,InsulationCost+CapCostGas-EECAsubCSInsl-EECAsubCHcs)</f>
        <v>3700</v>
      </c>
      <c r="D28" s="19">
        <f t="shared" si="26"/>
        <v>370</v>
      </c>
      <c r="E28" s="19"/>
      <c r="F28" s="61">
        <f t="shared" si="27"/>
        <v>1345.9860159657026</v>
      </c>
      <c r="G28" s="9">
        <f t="shared" si="28"/>
        <v>288.6</v>
      </c>
      <c r="H28" s="66">
        <f t="shared" si="29"/>
        <v>245.0377358490566</v>
      </c>
      <c r="I28" s="66">
        <f t="shared" si="30"/>
        <v>205.4823780704877</v>
      </c>
      <c r="J28" s="66">
        <f t="shared" si="31"/>
        <v>169.61988755818558</v>
      </c>
      <c r="K28" s="66">
        <f t="shared" si="32"/>
        <v>137.15893872629562</v>
      </c>
      <c r="L28" s="66">
        <f t="shared" si="33"/>
        <v>107.82935434457202</v>
      </c>
      <c r="M28" s="66">
        <f t="shared" si="34"/>
        <v>81.38064478835624</v>
      </c>
      <c r="N28" s="66">
        <f t="shared" si="35"/>
        <v>57.580644897421855</v>
      </c>
      <c r="O28" s="66">
        <f t="shared" si="36"/>
        <v>36.21424207385022</v>
      </c>
      <c r="P28" s="66">
        <f t="shared" si="37"/>
        <v>17.082189657476523</v>
      </c>
      <c r="Q28" s="4">
        <f t="shared" si="38"/>
        <v>0</v>
      </c>
    </row>
    <row r="29" spans="1:17" ht="16.5">
      <c r="A29" s="15"/>
      <c r="B29" s="19" t="s">
        <v>19</v>
      </c>
      <c r="C29" s="19">
        <f>IF(CapCostDiesel+InsulationCost-EECAsubCSInsl-EECAsubCHcs&gt;IFmaxSub,IFmaxSub,InsulationCost+CapCostDiesel-EECAsubCSInsl-EECAsubCHcs)</f>
        <v>4400</v>
      </c>
      <c r="D29" s="19">
        <f t="shared" si="26"/>
        <v>440</v>
      </c>
      <c r="E29" s="19"/>
      <c r="F29" s="61">
        <f t="shared" si="27"/>
        <v>1600.6320189862404</v>
      </c>
      <c r="G29" s="9">
        <f t="shared" si="28"/>
        <v>343.2</v>
      </c>
      <c r="H29" s="66">
        <f t="shared" si="29"/>
        <v>291.3962264150943</v>
      </c>
      <c r="I29" s="66">
        <f t="shared" si="30"/>
        <v>244.3574225703097</v>
      </c>
      <c r="J29" s="66">
        <f t="shared" si="31"/>
        <v>201.71013655568015</v>
      </c>
      <c r="K29" s="66">
        <f t="shared" si="32"/>
        <v>163.10792713397316</v>
      </c>
      <c r="L29" s="66">
        <f t="shared" si="33"/>
        <v>128.22950246381535</v>
      </c>
      <c r="M29" s="66">
        <f t="shared" si="34"/>
        <v>96.77698299155877</v>
      </c>
      <c r="N29" s="66">
        <f t="shared" si="35"/>
        <v>68.47428041855571</v>
      </c>
      <c r="O29" s="66">
        <f t="shared" si="36"/>
        <v>43.06558516890297</v>
      </c>
      <c r="P29" s="66">
        <f t="shared" si="37"/>
        <v>20.31395526835046</v>
      </c>
      <c r="Q29" s="4">
        <f t="shared" si="38"/>
        <v>0</v>
      </c>
    </row>
    <row r="30" spans="1:17" ht="16.5">
      <c r="A30" s="15"/>
      <c r="B30" s="19" t="s">
        <v>52</v>
      </c>
      <c r="C30" s="19">
        <f>IF(InsulationCost+AdminCost-EECAsubCSInsl&gt;IFmaxSub,IFmaxSub,InsulationCost+AdminCost-EECAsubCSInsl)</f>
        <v>1400</v>
      </c>
      <c r="D30" s="19">
        <f t="shared" si="26"/>
        <v>140</v>
      </c>
      <c r="E30" s="19"/>
      <c r="F30" s="61">
        <f t="shared" si="27"/>
        <v>509.29200604107655</v>
      </c>
      <c r="G30" s="9">
        <f t="shared" si="28"/>
        <v>109.2</v>
      </c>
      <c r="H30" s="66">
        <f t="shared" si="29"/>
        <v>92.71698113207547</v>
      </c>
      <c r="I30" s="66">
        <f t="shared" si="30"/>
        <v>77.75008899964399</v>
      </c>
      <c r="J30" s="66">
        <f t="shared" si="31"/>
        <v>64.18049799498914</v>
      </c>
      <c r="K30" s="66">
        <f t="shared" si="32"/>
        <v>51.89797681535509</v>
      </c>
      <c r="L30" s="66">
        <f t="shared" si="33"/>
        <v>40.80029623848671</v>
      </c>
      <c r="M30" s="66">
        <f t="shared" si="34"/>
        <v>30.79267640640506</v>
      </c>
      <c r="N30" s="66">
        <f t="shared" si="35"/>
        <v>21.787271042267726</v>
      </c>
      <c r="O30" s="66">
        <f t="shared" si="36"/>
        <v>13.70268619010549</v>
      </c>
      <c r="P30" s="66">
        <f t="shared" si="37"/>
        <v>6.463531221747873</v>
      </c>
      <c r="Q30" s="4">
        <f t="shared" si="38"/>
        <v>0</v>
      </c>
    </row>
    <row r="31" spans="1:17" ht="16.5">
      <c r="A31" s="56" t="s">
        <v>44</v>
      </c>
      <c r="B31" s="57"/>
      <c r="C31" s="57"/>
      <c r="D31" s="57"/>
      <c r="E31" s="57"/>
      <c r="F31" s="58"/>
      <c r="G31" s="64"/>
      <c r="H31" s="64"/>
      <c r="I31" s="64"/>
      <c r="J31" s="64"/>
      <c r="K31" s="64"/>
      <c r="L31" s="64"/>
      <c r="M31" s="64"/>
      <c r="N31" s="64"/>
      <c r="O31" s="64"/>
      <c r="P31" s="64"/>
      <c r="Q31" s="65"/>
    </row>
    <row r="32" spans="1:17" ht="16.5">
      <c r="A32" s="15"/>
      <c r="B32" s="19" t="s">
        <v>15</v>
      </c>
      <c r="C32" s="19">
        <f>IF(CapCostWB+InsulationCost-EECAsubCSInsl-EECAsubCHtenCS&gt;IFmaxSub,IFmaxSub,InsulationCost+CapCostWB-EECAsubCSInsl-EECAsubCHtenCS)</f>
        <v>4900</v>
      </c>
      <c r="D32" s="19">
        <f aca="true" t="shared" si="39" ref="D32:D37">C32/10</f>
        <v>490</v>
      </c>
      <c r="E32" s="19"/>
      <c r="F32" s="61">
        <f aca="true" t="shared" si="40" ref="F32:F37">SUM(G32:Q32)</f>
        <v>1782.522021143768</v>
      </c>
      <c r="G32" s="9">
        <f aca="true" t="shared" si="41" ref="G32:G37">C32*InterestRate*1/(1+IRdiscount)^year0</f>
        <v>382.2</v>
      </c>
      <c r="H32" s="66">
        <f aca="true" t="shared" si="42" ref="H32:H37">(C32-(Year1*$D32))*InterestRate*1/(1+IRdiscount)^Year1</f>
        <v>324.50943396226415</v>
      </c>
      <c r="I32" s="66">
        <f aca="true" t="shared" si="43" ref="I32:I37">(C32-(Year2*D32))*InterestRate*(1/(1+IRdiscount)^Year2)</f>
        <v>272.12531149875394</v>
      </c>
      <c r="J32" s="66">
        <f aca="true" t="shared" si="44" ref="J32:J37">(C32-(Year3*D32))*InterestRate*1/(1+IRdiscount)^Year3</f>
        <v>224.631742982462</v>
      </c>
      <c r="K32" s="66">
        <f aca="true" t="shared" si="45" ref="K32:K37">(C32-(Year4*D32))*InterestRate*1/(1+IRdiscount)^Year4</f>
        <v>181.64291885374283</v>
      </c>
      <c r="L32" s="66">
        <f aca="true" t="shared" si="46" ref="L32:L37">(C32-(Year5*D32))*InterestRate*1/(1+IRdiscount)^Year5</f>
        <v>142.80103683470347</v>
      </c>
      <c r="M32" s="66">
        <f aca="true" t="shared" si="47" ref="M32:M37">(C32-(Year6*D32))*InterestRate*1/(1+IRdiscount)^Year6</f>
        <v>107.77436742241771</v>
      </c>
      <c r="N32" s="66">
        <f aca="true" t="shared" si="48" ref="N32:N37">(C32-(Year7*D32))*InterestRate*1/(1+IRdiscount)^Year7</f>
        <v>76.25544864793704</v>
      </c>
      <c r="O32" s="66">
        <f aca="true" t="shared" si="49" ref="O32:O37">(C32-(Year8*D32))*InterestRate*1/(1+IRdiscount)^Year8</f>
        <v>47.959401665369214</v>
      </c>
      <c r="P32" s="66">
        <f aca="true" t="shared" si="50" ref="P32:P37">(C32-(Year9*D32))*InterestRate*1/(1+IRdiscount)^Year9</f>
        <v>22.622359276117557</v>
      </c>
      <c r="Q32" s="4">
        <f aca="true" t="shared" si="51" ref="Q32:Q37">(C32-(Year10*D32))*InterestRate*1/(1+IRdiscount)^Year10</f>
        <v>0</v>
      </c>
    </row>
    <row r="33" spans="1:17" s="41" customFormat="1" ht="16.5">
      <c r="A33" s="59"/>
      <c r="B33" s="19" t="s">
        <v>16</v>
      </c>
      <c r="C33" s="19">
        <f>IF(CapCostPellet+InsulationCost-EECAsubCSInsl-EECAsubCHtenCS&gt;IFmaxSub,IFmaxSub,InsulationCost+CapCostPellet-EECAsubCSInsl-EECAsubCHtenCS)</f>
        <v>5000</v>
      </c>
      <c r="D33" s="19">
        <f t="shared" si="39"/>
        <v>500</v>
      </c>
      <c r="E33" s="60"/>
      <c r="F33" s="61">
        <f t="shared" si="40"/>
        <v>1818.900021575274</v>
      </c>
      <c r="G33" s="9">
        <f t="shared" si="41"/>
        <v>390</v>
      </c>
      <c r="H33" s="66">
        <f t="shared" si="42"/>
        <v>331.1320754716981</v>
      </c>
      <c r="I33" s="66">
        <f t="shared" si="43"/>
        <v>277.67888928444285</v>
      </c>
      <c r="J33" s="66">
        <f t="shared" si="44"/>
        <v>229.21606426781835</v>
      </c>
      <c r="K33" s="66">
        <f t="shared" si="45"/>
        <v>185.34991719769678</v>
      </c>
      <c r="L33" s="66">
        <f t="shared" si="46"/>
        <v>145.7153437088811</v>
      </c>
      <c r="M33" s="66">
        <f t="shared" si="47"/>
        <v>109.9738443085895</v>
      </c>
      <c r="N33" s="66">
        <f t="shared" si="48"/>
        <v>77.81168229381332</v>
      </c>
      <c r="O33" s="66">
        <f t="shared" si="49"/>
        <v>48.93816496466247</v>
      </c>
      <c r="P33" s="66">
        <f t="shared" si="50"/>
        <v>23.084040077670974</v>
      </c>
      <c r="Q33" s="4">
        <f t="shared" si="51"/>
        <v>0</v>
      </c>
    </row>
    <row r="34" spans="1:17" ht="16.5">
      <c r="A34" s="15"/>
      <c r="B34" s="19" t="s">
        <v>17</v>
      </c>
      <c r="C34" s="19">
        <f>IF(CapCostHP+InsulationCost-EECAsubCSInsl-EECAsubCHtenCS&gt;IFmaxSub,IFmaxSub,InsulationCost+CapCostHP-EECAsubCSInsl-EECAsubCHtenCS)</f>
        <v>3900</v>
      </c>
      <c r="D34" s="19">
        <f t="shared" si="39"/>
        <v>390</v>
      </c>
      <c r="E34" s="19"/>
      <c r="F34" s="61">
        <f t="shared" si="40"/>
        <v>1418.742016828713</v>
      </c>
      <c r="G34" s="9">
        <f t="shared" si="41"/>
        <v>304.2</v>
      </c>
      <c r="H34" s="66">
        <f t="shared" si="42"/>
        <v>258.2830188679245</v>
      </c>
      <c r="I34" s="66">
        <f t="shared" si="43"/>
        <v>216.58953364186542</v>
      </c>
      <c r="J34" s="66">
        <f t="shared" si="44"/>
        <v>178.78853012889832</v>
      </c>
      <c r="K34" s="66">
        <f t="shared" si="45"/>
        <v>144.5729354142035</v>
      </c>
      <c r="L34" s="66">
        <f t="shared" si="46"/>
        <v>113.65796809292725</v>
      </c>
      <c r="M34" s="66">
        <f t="shared" si="47"/>
        <v>85.77959856069981</v>
      </c>
      <c r="N34" s="66">
        <f t="shared" si="48"/>
        <v>60.693112189174386</v>
      </c>
      <c r="O34" s="66">
        <f t="shared" si="49"/>
        <v>38.17176867243673</v>
      </c>
      <c r="P34" s="66">
        <f t="shared" si="50"/>
        <v>18.00555126058336</v>
      </c>
      <c r="Q34" s="4">
        <f t="shared" si="51"/>
        <v>0</v>
      </c>
    </row>
    <row r="35" spans="1:17" ht="16.5">
      <c r="A35" s="15"/>
      <c r="B35" s="19" t="s">
        <v>18</v>
      </c>
      <c r="C35" s="19">
        <f>IF(CapCostGas+InsulationCost-EECAsubCSInsl-EECAsubCHtenCS&gt;IFmaxSub,IFmaxSub,InsulationCost+CapCostGas-EECAsubCSInsl-EECAsubCHtenCS)</f>
        <v>4400</v>
      </c>
      <c r="D35" s="19">
        <f t="shared" si="39"/>
        <v>440</v>
      </c>
      <c r="E35" s="19"/>
      <c r="F35" s="61">
        <f t="shared" si="40"/>
        <v>1600.6320189862404</v>
      </c>
      <c r="G35" s="9">
        <f t="shared" si="41"/>
        <v>343.2</v>
      </c>
      <c r="H35" s="66">
        <f t="shared" si="42"/>
        <v>291.3962264150943</v>
      </c>
      <c r="I35" s="66">
        <f t="shared" si="43"/>
        <v>244.3574225703097</v>
      </c>
      <c r="J35" s="66">
        <f t="shared" si="44"/>
        <v>201.71013655568015</v>
      </c>
      <c r="K35" s="66">
        <f t="shared" si="45"/>
        <v>163.10792713397316</v>
      </c>
      <c r="L35" s="66">
        <f t="shared" si="46"/>
        <v>128.22950246381535</v>
      </c>
      <c r="M35" s="66">
        <f t="shared" si="47"/>
        <v>96.77698299155877</v>
      </c>
      <c r="N35" s="66">
        <f t="shared" si="48"/>
        <v>68.47428041855571</v>
      </c>
      <c r="O35" s="66">
        <f t="shared" si="49"/>
        <v>43.06558516890297</v>
      </c>
      <c r="P35" s="66">
        <f t="shared" si="50"/>
        <v>20.31395526835046</v>
      </c>
      <c r="Q35" s="4">
        <f t="shared" si="51"/>
        <v>0</v>
      </c>
    </row>
    <row r="36" spans="1:17" ht="16.5">
      <c r="A36" s="15"/>
      <c r="B36" s="19" t="s">
        <v>19</v>
      </c>
      <c r="C36" s="19">
        <f>IF(CapCostDiesel+InsulationCost-EECAsubCSInsl-EECAsubCHtenCS&gt;IFmaxSub,IFmaxSub,InsulationCost+CapCostDiesel-EECAsubCSInsl-EECAsubCHtenCS)</f>
        <v>5000</v>
      </c>
      <c r="D36" s="19">
        <f t="shared" si="39"/>
        <v>500</v>
      </c>
      <c r="E36" s="19"/>
      <c r="F36" s="61">
        <f t="shared" si="40"/>
        <v>1818.900021575274</v>
      </c>
      <c r="G36" s="9">
        <f t="shared" si="41"/>
        <v>390</v>
      </c>
      <c r="H36" s="66">
        <f t="shared" si="42"/>
        <v>331.1320754716981</v>
      </c>
      <c r="I36" s="66">
        <f t="shared" si="43"/>
        <v>277.67888928444285</v>
      </c>
      <c r="J36" s="66">
        <f t="shared" si="44"/>
        <v>229.21606426781835</v>
      </c>
      <c r="K36" s="66">
        <f t="shared" si="45"/>
        <v>185.34991719769678</v>
      </c>
      <c r="L36" s="66">
        <f t="shared" si="46"/>
        <v>145.7153437088811</v>
      </c>
      <c r="M36" s="66">
        <f t="shared" si="47"/>
        <v>109.9738443085895</v>
      </c>
      <c r="N36" s="66">
        <f t="shared" si="48"/>
        <v>77.81168229381332</v>
      </c>
      <c r="O36" s="66">
        <f t="shared" si="49"/>
        <v>48.93816496466247</v>
      </c>
      <c r="P36" s="66">
        <f t="shared" si="50"/>
        <v>23.084040077670974</v>
      </c>
      <c r="Q36" s="4">
        <f t="shared" si="51"/>
        <v>0</v>
      </c>
    </row>
    <row r="37" spans="1:17" ht="17.25" thickBot="1">
      <c r="A37" s="21"/>
      <c r="B37" s="22" t="s">
        <v>52</v>
      </c>
      <c r="C37" s="22">
        <f>IF(InsulationCost+AdminCost-EECAsubCSInsl&gt;IFmaxSub,IFmaxSub,InsulationCost+AdminCost-EECAsubCSInsl)</f>
        <v>1400</v>
      </c>
      <c r="D37" s="22">
        <f t="shared" si="39"/>
        <v>140</v>
      </c>
      <c r="E37" s="22"/>
      <c r="F37" s="62">
        <f t="shared" si="40"/>
        <v>509.29200604107655</v>
      </c>
      <c r="G37" s="67">
        <f t="shared" si="41"/>
        <v>109.2</v>
      </c>
      <c r="H37" s="68">
        <f t="shared" si="42"/>
        <v>92.71698113207547</v>
      </c>
      <c r="I37" s="68">
        <f t="shared" si="43"/>
        <v>77.75008899964399</v>
      </c>
      <c r="J37" s="68">
        <f t="shared" si="44"/>
        <v>64.18049799498914</v>
      </c>
      <c r="K37" s="68">
        <f t="shared" si="45"/>
        <v>51.89797681535509</v>
      </c>
      <c r="L37" s="68">
        <f t="shared" si="46"/>
        <v>40.80029623848671</v>
      </c>
      <c r="M37" s="68">
        <f t="shared" si="47"/>
        <v>30.79267640640506</v>
      </c>
      <c r="N37" s="68">
        <f t="shared" si="48"/>
        <v>21.787271042267726</v>
      </c>
      <c r="O37" s="68">
        <f t="shared" si="49"/>
        <v>13.70268619010549</v>
      </c>
      <c r="P37" s="68">
        <f t="shared" si="50"/>
        <v>6.463531221747873</v>
      </c>
      <c r="Q37" s="69">
        <f t="shared" si="51"/>
        <v>0</v>
      </c>
    </row>
    <row r="38" spans="6:17" ht="17.25" thickBot="1">
      <c r="F38" s="40"/>
      <c r="H38" s="17"/>
      <c r="I38" s="17"/>
      <c r="J38" s="17"/>
      <c r="K38" s="17"/>
      <c r="L38" s="17"/>
      <c r="M38" s="17"/>
      <c r="N38" s="17"/>
      <c r="O38" s="17"/>
      <c r="P38" s="17"/>
      <c r="Q38" s="17"/>
    </row>
    <row r="39" spans="1:17" ht="16.5">
      <c r="A39" s="52" t="s">
        <v>45</v>
      </c>
      <c r="B39" s="53"/>
      <c r="C39" s="53"/>
      <c r="D39" s="53"/>
      <c r="E39" s="53"/>
      <c r="F39" s="55" t="s">
        <v>14</v>
      </c>
      <c r="G39" s="54"/>
      <c r="H39" s="54"/>
      <c r="I39" s="54"/>
      <c r="J39" s="54"/>
      <c r="K39" s="54"/>
      <c r="L39" s="54"/>
      <c r="M39" s="54"/>
      <c r="N39" s="54"/>
      <c r="O39" s="54"/>
      <c r="P39" s="54"/>
      <c r="Q39" s="70"/>
    </row>
    <row r="40" spans="1:17" ht="16.5">
      <c r="A40" s="15"/>
      <c r="B40" s="19" t="s">
        <v>15</v>
      </c>
      <c r="C40" s="19">
        <f>Capitalcost</f>
        <v>4400</v>
      </c>
      <c r="D40" s="19">
        <f>C40/10</f>
        <v>440</v>
      </c>
      <c r="E40" s="19"/>
      <c r="F40" s="61">
        <f>SUM(G40:Q40)</f>
        <v>3678.4383026224655</v>
      </c>
      <c r="G40" s="9">
        <f>D40*1/(1+IRdiscount)^year0</f>
        <v>440</v>
      </c>
      <c r="H40" s="66">
        <f>D40*1/(1+IRdiscount)^Year1</f>
        <v>415.0943396226415</v>
      </c>
      <c r="I40" s="66">
        <f>D40*1/(1+IRdiscount)^Year2</f>
        <v>391.59843360626553</v>
      </c>
      <c r="J40" s="66">
        <f>D40*1/(1+IRdiscount)^Year3</f>
        <v>369.43248453421273</v>
      </c>
      <c r="K40" s="66">
        <f>D40*1/(1+IRdiscount)^Year4</f>
        <v>348.521211824729</v>
      </c>
      <c r="L40" s="66">
        <f>D40*1/(1+IRdiscount)^Year5</f>
        <v>328.79359606106505</v>
      </c>
      <c r="M40" s="66">
        <f>D40*1/(1+IRdiscount)^Year6</f>
        <v>310.18263779345756</v>
      </c>
      <c r="N40" s="66">
        <f>D40*1/(1+IRdiscount)^Year7</f>
        <v>292.62512999382784</v>
      </c>
      <c r="O40" s="66">
        <f>D40*1/(1+IRdiscount)^Year8</f>
        <v>276.06144339040367</v>
      </c>
      <c r="P40" s="66">
        <f>D40*1/(1+IRdiscount)^Year9</f>
        <v>260.435323953211</v>
      </c>
      <c r="Q40" s="4">
        <f>D40*1/(1+IRdiscount)^Year10</f>
        <v>245.69370184265188</v>
      </c>
    </row>
    <row r="41" spans="1:17" ht="16.5">
      <c r="A41" s="15"/>
      <c r="B41" s="19" t="s">
        <v>16</v>
      </c>
      <c r="C41" s="19">
        <f>CapCostPellet</f>
        <v>4900</v>
      </c>
      <c r="D41" s="19">
        <f>C41/10</f>
        <v>490</v>
      </c>
      <c r="E41" s="19"/>
      <c r="F41" s="61">
        <f>SUM(G41:Q41)</f>
        <v>4096.442655193201</v>
      </c>
      <c r="G41" s="9">
        <f>D41*1/(1+IRdiscount)^year0</f>
        <v>490</v>
      </c>
      <c r="H41" s="66">
        <f>D41*1/(1+IRdiscount)^Year1</f>
        <v>462.2641509433962</v>
      </c>
      <c r="I41" s="66">
        <f>D41*1/(1+IRdiscount)^Year2</f>
        <v>436.0982556069775</v>
      </c>
      <c r="J41" s="66">
        <f>D41*1/(1+IRdiscount)^Year3</f>
        <v>411.4134486858278</v>
      </c>
      <c r="K41" s="66">
        <f>D41*1/(1+IRdiscount)^Year4</f>
        <v>388.12589498663</v>
      </c>
      <c r="L41" s="66">
        <f>D41*1/(1+IRdiscount)^Year5</f>
        <v>366.1565047043679</v>
      </c>
      <c r="M41" s="66">
        <f>D41*1/(1+IRdiscount)^Year6</f>
        <v>345.4306648154414</v>
      </c>
      <c r="N41" s="66">
        <f>D41*1/(1+IRdiscount)^Year7</f>
        <v>325.8779856749446</v>
      </c>
      <c r="O41" s="66">
        <f>D41*1/(1+IRdiscount)^Year8</f>
        <v>307.43206195749497</v>
      </c>
      <c r="P41" s="66">
        <f>D41*1/(1+IRdiscount)^Year9</f>
        <v>290.0302471297123</v>
      </c>
      <c r="Q41" s="4">
        <f>D41*1/(1+IRdiscount)^Year10</f>
        <v>273.61344068840776</v>
      </c>
    </row>
    <row r="42" spans="1:17" ht="16.5">
      <c r="A42" s="15"/>
      <c r="B42" s="19" t="s">
        <v>17</v>
      </c>
      <c r="C42" s="19">
        <f>CapCostHP</f>
        <v>3400</v>
      </c>
      <c r="D42" s="19">
        <f>C42/10</f>
        <v>340</v>
      </c>
      <c r="E42" s="19"/>
      <c r="F42" s="61">
        <f>SUM(G42:Q42)</f>
        <v>2842.429597480996</v>
      </c>
      <c r="G42" s="9">
        <f>D42*1/(1+IRdiscount)^year0</f>
        <v>340</v>
      </c>
      <c r="H42" s="66">
        <f>D42*1/(1+IRdiscount)^Year1</f>
        <v>320.75471698113205</v>
      </c>
      <c r="I42" s="66">
        <f>D42*1/(1+IRdiscount)^Year2</f>
        <v>302.59878960484156</v>
      </c>
      <c r="J42" s="66">
        <f>D42*1/(1+IRdiscount)^Year3</f>
        <v>285.47055623098254</v>
      </c>
      <c r="K42" s="66">
        <f>D42*1/(1+IRdiscount)^Year4</f>
        <v>269.31184550092695</v>
      </c>
      <c r="L42" s="66">
        <f>D42*1/(1+IRdiscount)^Year5</f>
        <v>254.06777877445936</v>
      </c>
      <c r="M42" s="66">
        <f>D42*1/(1+IRdiscount)^Year6</f>
        <v>239.68658374948993</v>
      </c>
      <c r="N42" s="66">
        <f>D42*1/(1+IRdiscount)^Year7</f>
        <v>226.11941863159424</v>
      </c>
      <c r="O42" s="66">
        <f>D42*1/(1+IRdiscount)^Year8</f>
        <v>213.320206256221</v>
      </c>
      <c r="P42" s="66">
        <f>D42*1/(1+IRdiscount)^Year9</f>
        <v>201.2454776002085</v>
      </c>
      <c r="Q42" s="4">
        <f>D42*1/(1+IRdiscount)^Year10</f>
        <v>189.85422415114007</v>
      </c>
    </row>
    <row r="43" spans="1:17" ht="16.5">
      <c r="A43" s="15"/>
      <c r="B43" s="19" t="s">
        <v>18</v>
      </c>
      <c r="C43" s="19">
        <f>CapCostGas</f>
        <v>3900</v>
      </c>
      <c r="D43" s="19">
        <f>C43/10</f>
        <v>390</v>
      </c>
      <c r="E43" s="19"/>
      <c r="F43" s="61">
        <f>SUM(G43:Q43)</f>
        <v>3260.433950051731</v>
      </c>
      <c r="G43" s="9">
        <f>D43*1/(1+IRdiscount)^year0</f>
        <v>390</v>
      </c>
      <c r="H43" s="66">
        <f>D43*1/(1+IRdiscount)^Year1</f>
        <v>367.92452830188677</v>
      </c>
      <c r="I43" s="66">
        <f>D43*1/(1+IRdiscount)^Year2</f>
        <v>347.0986116055535</v>
      </c>
      <c r="J43" s="66">
        <f>D43*1/(1+IRdiscount)^Year3</f>
        <v>327.4515203825976</v>
      </c>
      <c r="K43" s="66">
        <f>D43*1/(1+IRdiscount)^Year4</f>
        <v>308.91652866282794</v>
      </c>
      <c r="L43" s="66">
        <f>D43*1/(1+IRdiscount)^Year5</f>
        <v>291.4306874177622</v>
      </c>
      <c r="M43" s="66">
        <f>D43*1/(1+IRdiscount)^Year6</f>
        <v>274.93461077147373</v>
      </c>
      <c r="N43" s="66">
        <f>D43*1/(1+IRdiscount)^Year7</f>
        <v>259.37227431271106</v>
      </c>
      <c r="O43" s="66">
        <f>D43*1/(1+IRdiscount)^Year8</f>
        <v>244.69082482331234</v>
      </c>
      <c r="P43" s="66">
        <f>D43*1/(1+IRdiscount)^Year9</f>
        <v>230.84040077670974</v>
      </c>
      <c r="Q43" s="4">
        <f>D43*1/(1+IRdiscount)^Year10</f>
        <v>217.77396299689596</v>
      </c>
    </row>
    <row r="44" spans="1:17" ht="16.5">
      <c r="A44" s="15"/>
      <c r="B44" s="19" t="s">
        <v>19</v>
      </c>
      <c r="C44" s="19">
        <f>CapCostDiesel</f>
        <v>4600</v>
      </c>
      <c r="D44" s="19">
        <f>C44/10</f>
        <v>460</v>
      </c>
      <c r="E44" s="19"/>
      <c r="F44" s="61">
        <f>SUM(G44:Q44)</f>
        <v>3845.6400436507597</v>
      </c>
      <c r="G44" s="9">
        <f>D44*1/(1+IRdiscount)^year0</f>
        <v>460</v>
      </c>
      <c r="H44" s="66">
        <f>D44*1/(1+IRdiscount)^Year1</f>
        <v>433.9622641509434</v>
      </c>
      <c r="I44" s="66">
        <f>D44*1/(1+IRdiscount)^Year2</f>
        <v>409.3983624065503</v>
      </c>
      <c r="J44" s="66">
        <f>D44*1/(1+IRdiscount)^Year3</f>
        <v>386.22487019485874</v>
      </c>
      <c r="K44" s="66">
        <f>D44*1/(1+IRdiscount)^Year4</f>
        <v>364.3630850894894</v>
      </c>
      <c r="L44" s="66">
        <f>D44*1/(1+IRdiscount)^Year5</f>
        <v>343.7387595183862</v>
      </c>
      <c r="M44" s="66">
        <f>D44*1/(1+IRdiscount)^Year6</f>
        <v>324.2818486022511</v>
      </c>
      <c r="N44" s="66">
        <f>D44*1/(1+IRdiscount)^Year7</f>
        <v>305.92627226627457</v>
      </c>
      <c r="O44" s="66">
        <f>D44*1/(1+IRdiscount)^Year8</f>
        <v>288.60969081724016</v>
      </c>
      <c r="P44" s="66">
        <f>D44*1/(1+IRdiscount)^Year9</f>
        <v>272.2732932238115</v>
      </c>
      <c r="Q44" s="4">
        <f>D44*1/(1+IRdiscount)^Year10</f>
        <v>256.8615973809542</v>
      </c>
    </row>
    <row r="45" spans="1:17" ht="16.5">
      <c r="A45" s="56" t="s">
        <v>51</v>
      </c>
      <c r="B45" s="57"/>
      <c r="C45" s="57"/>
      <c r="D45" s="57"/>
      <c r="E45" s="57" t="s">
        <v>47</v>
      </c>
      <c r="F45" s="58" t="s">
        <v>14</v>
      </c>
      <c r="G45" s="64" t="s">
        <v>5</v>
      </c>
      <c r="H45" s="64" t="s">
        <v>1</v>
      </c>
      <c r="I45" s="64" t="s">
        <v>2</v>
      </c>
      <c r="J45" s="64" t="s">
        <v>3</v>
      </c>
      <c r="K45" s="64" t="s">
        <v>6</v>
      </c>
      <c r="L45" s="64" t="s">
        <v>7</v>
      </c>
      <c r="M45" s="64" t="s">
        <v>8</v>
      </c>
      <c r="N45" s="64" t="s">
        <v>9</v>
      </c>
      <c r="O45" s="64" t="s">
        <v>10</v>
      </c>
      <c r="P45" s="64" t="s">
        <v>11</v>
      </c>
      <c r="Q45" s="65" t="s">
        <v>12</v>
      </c>
    </row>
    <row r="46" spans="1:17" ht="16.5">
      <c r="A46" s="15"/>
      <c r="B46" s="19" t="s">
        <v>15</v>
      </c>
      <c r="C46" s="19">
        <f>IF(CapCostWB+InsulationCost&gt;IFmaxSub,IFmaxSub,InsulationCost+CapCostWB)</f>
        <v>5000</v>
      </c>
      <c r="D46" s="19">
        <f aca="true" t="shared" si="52" ref="D46:D51">C46/10</f>
        <v>500</v>
      </c>
      <c r="E46" s="2">
        <f>IF(CapCostWB+InsulationCost&gt;IFmaxSub,InsulationCost+CapCostWB-IFmaxSub,0)</f>
        <v>1900</v>
      </c>
      <c r="F46" s="61">
        <f aca="true" t="shared" si="53" ref="F46:F51">SUM(G46:Q46)+E46</f>
        <v>6080.043525707348</v>
      </c>
      <c r="G46" s="9">
        <f aca="true" t="shared" si="54" ref="G46:G51">D46*1/(1+IRdiscount)^year0</f>
        <v>500</v>
      </c>
      <c r="H46" s="66">
        <f aca="true" t="shared" si="55" ref="H46:H51">D46*1/(1+IRdiscount)^Year1</f>
        <v>471.6981132075471</v>
      </c>
      <c r="I46" s="66">
        <f aca="true" t="shared" si="56" ref="I46:I51">D46*1/(1+IRdiscount)^Year2</f>
        <v>444.9982200071199</v>
      </c>
      <c r="J46" s="66">
        <f aca="true" t="shared" si="57" ref="J46:J51">D46*1/(1+IRdiscount)^Year3</f>
        <v>419.8096415161508</v>
      </c>
      <c r="K46" s="66">
        <f aca="true" t="shared" si="58" ref="K46:K51">D46*1/(1+IRdiscount)^Year4</f>
        <v>396.0468316190102</v>
      </c>
      <c r="L46" s="66">
        <f aca="true" t="shared" si="59" ref="L46:L51">D46*1/(1+IRdiscount)^Year5</f>
        <v>373.6290864330284</v>
      </c>
      <c r="M46" s="66">
        <f aca="true" t="shared" si="60" ref="M46:M51">D46*1/(1+IRdiscount)^Year6</f>
        <v>352.48027021983813</v>
      </c>
      <c r="N46" s="66">
        <f aca="true" t="shared" si="61" ref="N46:N51">D46*1/(1+IRdiscount)^Year7</f>
        <v>332.528556811168</v>
      </c>
      <c r="O46" s="66">
        <f aca="true" t="shared" si="62" ref="O46:O51">D46*1/(1+IRdiscount)^Year8</f>
        <v>313.70618567091327</v>
      </c>
      <c r="P46" s="66">
        <f aca="true" t="shared" si="63" ref="P46:P51">D46*1/(1+IRdiscount)^Year9</f>
        <v>295.9492317650125</v>
      </c>
      <c r="Q46" s="4">
        <f aca="true" t="shared" si="64" ref="Q46:Q51">D46*1/(1+IRdiscount)^Year10</f>
        <v>279.19738845755893</v>
      </c>
    </row>
    <row r="47" spans="1:17" ht="16.5">
      <c r="A47" s="15"/>
      <c r="B47" s="19" t="s">
        <v>16</v>
      </c>
      <c r="C47" s="19">
        <f>IF(CapCostPellet+InsulationCost&gt;IFmaxSub,IFmaxSub,InsulationCost+CapCostPellet)</f>
        <v>5000</v>
      </c>
      <c r="D47" s="19">
        <f t="shared" si="52"/>
        <v>500</v>
      </c>
      <c r="E47" s="2">
        <f>IF(CapCostPellet+InsulationCost&gt;IFmaxSub,InsulationCost+CapCostPellet-IFmaxSub,0)</f>
        <v>2400</v>
      </c>
      <c r="F47" s="61">
        <f t="shared" si="53"/>
        <v>6580.043525707348</v>
      </c>
      <c r="G47" s="9">
        <f t="shared" si="54"/>
        <v>500</v>
      </c>
      <c r="H47" s="66">
        <f t="shared" si="55"/>
        <v>471.6981132075471</v>
      </c>
      <c r="I47" s="66">
        <f t="shared" si="56"/>
        <v>444.9982200071199</v>
      </c>
      <c r="J47" s="66">
        <f t="shared" si="57"/>
        <v>419.8096415161508</v>
      </c>
      <c r="K47" s="66">
        <f t="shared" si="58"/>
        <v>396.0468316190102</v>
      </c>
      <c r="L47" s="66">
        <f t="shared" si="59"/>
        <v>373.6290864330284</v>
      </c>
      <c r="M47" s="66">
        <f t="shared" si="60"/>
        <v>352.48027021983813</v>
      </c>
      <c r="N47" s="66">
        <f t="shared" si="61"/>
        <v>332.528556811168</v>
      </c>
      <c r="O47" s="66">
        <f t="shared" si="62"/>
        <v>313.70618567091327</v>
      </c>
      <c r="P47" s="66">
        <f t="shared" si="63"/>
        <v>295.9492317650125</v>
      </c>
      <c r="Q47" s="4">
        <f t="shared" si="64"/>
        <v>279.19738845755893</v>
      </c>
    </row>
    <row r="48" spans="1:17" ht="16.5">
      <c r="A48" s="15"/>
      <c r="B48" s="19" t="s">
        <v>17</v>
      </c>
      <c r="C48" s="19">
        <f>IF(CapCostHP+InsulationCost&gt;IFmaxSub,IFmaxSub,InsulationCost+CapCostHP)</f>
        <v>5000</v>
      </c>
      <c r="D48" s="19">
        <f t="shared" si="52"/>
        <v>500</v>
      </c>
      <c r="E48" s="2">
        <f>IF(CapCostHP+InsulationCost&gt;IFmaxSub,InsulationCost+CapCostHP-IFmaxSub,0)</f>
        <v>900</v>
      </c>
      <c r="F48" s="61">
        <f t="shared" si="53"/>
        <v>5080.043525707348</v>
      </c>
      <c r="G48" s="9">
        <f t="shared" si="54"/>
        <v>500</v>
      </c>
      <c r="H48" s="66">
        <f t="shared" si="55"/>
        <v>471.6981132075471</v>
      </c>
      <c r="I48" s="66">
        <f t="shared" si="56"/>
        <v>444.9982200071199</v>
      </c>
      <c r="J48" s="66">
        <f t="shared" si="57"/>
        <v>419.8096415161508</v>
      </c>
      <c r="K48" s="66">
        <f t="shared" si="58"/>
        <v>396.0468316190102</v>
      </c>
      <c r="L48" s="66">
        <f t="shared" si="59"/>
        <v>373.6290864330284</v>
      </c>
      <c r="M48" s="66">
        <f t="shared" si="60"/>
        <v>352.48027021983813</v>
      </c>
      <c r="N48" s="66">
        <f t="shared" si="61"/>
        <v>332.528556811168</v>
      </c>
      <c r="O48" s="66">
        <f t="shared" si="62"/>
        <v>313.70618567091327</v>
      </c>
      <c r="P48" s="66">
        <f t="shared" si="63"/>
        <v>295.9492317650125</v>
      </c>
      <c r="Q48" s="4">
        <f t="shared" si="64"/>
        <v>279.19738845755893</v>
      </c>
    </row>
    <row r="49" spans="1:17" ht="16.5">
      <c r="A49" s="15"/>
      <c r="B49" s="19" t="s">
        <v>18</v>
      </c>
      <c r="C49" s="19">
        <f>IF(CapCostGas+InsulationCost&gt;IFmaxSub,IFmaxSub,InsulationCost+CapCostGas)</f>
        <v>5000</v>
      </c>
      <c r="D49" s="19">
        <f t="shared" si="52"/>
        <v>500</v>
      </c>
      <c r="E49" s="2">
        <f>IF(CapCostGas+InsulationCost&gt;IFmaxSub,InsulationCost+CapCostGas-IFmaxSub,0)</f>
        <v>1400</v>
      </c>
      <c r="F49" s="61">
        <f t="shared" si="53"/>
        <v>5580.043525707348</v>
      </c>
      <c r="G49" s="9">
        <f t="shared" si="54"/>
        <v>500</v>
      </c>
      <c r="H49" s="66">
        <f t="shared" si="55"/>
        <v>471.6981132075471</v>
      </c>
      <c r="I49" s="66">
        <f t="shared" si="56"/>
        <v>444.9982200071199</v>
      </c>
      <c r="J49" s="66">
        <f t="shared" si="57"/>
        <v>419.8096415161508</v>
      </c>
      <c r="K49" s="66">
        <f t="shared" si="58"/>
        <v>396.0468316190102</v>
      </c>
      <c r="L49" s="66">
        <f t="shared" si="59"/>
        <v>373.6290864330284</v>
      </c>
      <c r="M49" s="66">
        <f t="shared" si="60"/>
        <v>352.48027021983813</v>
      </c>
      <c r="N49" s="66">
        <f t="shared" si="61"/>
        <v>332.528556811168</v>
      </c>
      <c r="O49" s="66">
        <f t="shared" si="62"/>
        <v>313.70618567091327</v>
      </c>
      <c r="P49" s="66">
        <f t="shared" si="63"/>
        <v>295.9492317650125</v>
      </c>
      <c r="Q49" s="4">
        <f t="shared" si="64"/>
        <v>279.19738845755893</v>
      </c>
    </row>
    <row r="50" spans="1:17" ht="16.5">
      <c r="A50" s="15"/>
      <c r="B50" s="19" t="s">
        <v>19</v>
      </c>
      <c r="C50" s="19">
        <f>IF(CapCostDiesel+InsulationCost&gt;IFmaxSub,IFmaxSub,InsulationCost+CapCostDiesel)</f>
        <v>5000</v>
      </c>
      <c r="D50" s="19">
        <f t="shared" si="52"/>
        <v>500</v>
      </c>
      <c r="E50" s="2">
        <f>IF(CapCostDiesel+InsulationCost&gt;IFmaxSub,InsulationCost+CapCostDiesel-IFmaxSub,0)</f>
        <v>2100</v>
      </c>
      <c r="F50" s="61">
        <f t="shared" si="53"/>
        <v>6280.043525707348</v>
      </c>
      <c r="G50" s="9">
        <f t="shared" si="54"/>
        <v>500</v>
      </c>
      <c r="H50" s="66">
        <f t="shared" si="55"/>
        <v>471.6981132075471</v>
      </c>
      <c r="I50" s="66">
        <f t="shared" si="56"/>
        <v>444.9982200071199</v>
      </c>
      <c r="J50" s="66">
        <f t="shared" si="57"/>
        <v>419.8096415161508</v>
      </c>
      <c r="K50" s="66">
        <f t="shared" si="58"/>
        <v>396.0468316190102</v>
      </c>
      <c r="L50" s="66">
        <f t="shared" si="59"/>
        <v>373.6290864330284</v>
      </c>
      <c r="M50" s="66">
        <f t="shared" si="60"/>
        <v>352.48027021983813</v>
      </c>
      <c r="N50" s="66">
        <f t="shared" si="61"/>
        <v>332.528556811168</v>
      </c>
      <c r="O50" s="66">
        <f t="shared" si="62"/>
        <v>313.70618567091327</v>
      </c>
      <c r="P50" s="66">
        <f t="shared" si="63"/>
        <v>295.9492317650125</v>
      </c>
      <c r="Q50" s="4">
        <f t="shared" si="64"/>
        <v>279.19738845755893</v>
      </c>
    </row>
    <row r="51" spans="1:17" ht="16.5">
      <c r="A51" s="15"/>
      <c r="B51" s="19" t="s">
        <v>52</v>
      </c>
      <c r="C51" s="19">
        <f>IF(InsulationCost+AdminCost&gt;IFmaxSub,IFmaxSub,InsulationCost+AdminCost)</f>
        <v>2900</v>
      </c>
      <c r="D51" s="19">
        <f t="shared" si="52"/>
        <v>290</v>
      </c>
      <c r="E51" s="2">
        <f>IF(InsulationCost&gt;IFmaxSub,InsulationCost-IFmaxSub,0)</f>
        <v>0</v>
      </c>
      <c r="F51" s="61">
        <f t="shared" si="53"/>
        <v>2424.425244910261</v>
      </c>
      <c r="G51" s="9">
        <f t="shared" si="54"/>
        <v>290</v>
      </c>
      <c r="H51" s="66">
        <f t="shared" si="55"/>
        <v>273.58490566037733</v>
      </c>
      <c r="I51" s="66">
        <f t="shared" si="56"/>
        <v>258.09896760412954</v>
      </c>
      <c r="J51" s="66">
        <f t="shared" si="57"/>
        <v>243.48959207936747</v>
      </c>
      <c r="K51" s="66">
        <f t="shared" si="58"/>
        <v>229.70716233902593</v>
      </c>
      <c r="L51" s="66">
        <f t="shared" si="59"/>
        <v>216.7048701311565</v>
      </c>
      <c r="M51" s="66">
        <f t="shared" si="60"/>
        <v>204.43855672750612</v>
      </c>
      <c r="N51" s="66">
        <f t="shared" si="61"/>
        <v>192.86656295047746</v>
      </c>
      <c r="O51" s="66">
        <f t="shared" si="62"/>
        <v>181.9495876891297</v>
      </c>
      <c r="P51" s="66">
        <f t="shared" si="63"/>
        <v>171.65055442370726</v>
      </c>
      <c r="Q51" s="4">
        <f t="shared" si="64"/>
        <v>161.9344853053842</v>
      </c>
    </row>
    <row r="52" spans="1:17" ht="16.5">
      <c r="A52" s="56" t="s">
        <v>46</v>
      </c>
      <c r="B52" s="57"/>
      <c r="C52" s="57"/>
      <c r="D52" s="57"/>
      <c r="E52" s="57" t="s">
        <v>47</v>
      </c>
      <c r="F52" s="58" t="s">
        <v>14</v>
      </c>
      <c r="G52" s="64"/>
      <c r="H52" s="64"/>
      <c r="I52" s="64"/>
      <c r="J52" s="64"/>
      <c r="K52" s="64"/>
      <c r="L52" s="64"/>
      <c r="M52" s="64"/>
      <c r="N52" s="64"/>
      <c r="O52" s="64"/>
      <c r="P52" s="64"/>
      <c r="Q52" s="65"/>
    </row>
    <row r="53" spans="1:17" ht="16.5">
      <c r="A53" s="15"/>
      <c r="B53" s="19" t="s">
        <v>15</v>
      </c>
      <c r="C53" s="19">
        <f>IF(CapCostWB+InsulationCost-EECAsubInsl-EECAsubCH&gt;IFmaxSub,IFmaxSub,InsulationCost+CapCostWB-EECAsubInsl-EECAsubCH)</f>
        <v>5000</v>
      </c>
      <c r="D53" s="19">
        <f aca="true" t="shared" si="65" ref="D53:D58">C53/10</f>
        <v>500</v>
      </c>
      <c r="E53" s="2">
        <f>IF(CapCostWB+InsulationCost-EECAsubInsl-EECAsubCH&gt;IFmaxSub,InsulationCost+CapCostWB-EECAsubInsl-EECAsubCH-IFmaxSub,0)</f>
        <v>575</v>
      </c>
      <c r="F53" s="61">
        <f aca="true" t="shared" si="66" ref="F53:F58">SUM(G53:Q53)+E53</f>
        <v>4755.043525707348</v>
      </c>
      <c r="G53" s="9">
        <f aca="true" t="shared" si="67" ref="G53:G58">D53*1/(1+IRdiscount)^year0</f>
        <v>500</v>
      </c>
      <c r="H53" s="66">
        <f aca="true" t="shared" si="68" ref="H53:H58">D53*1/(1+IRdiscount)^Year1</f>
        <v>471.6981132075471</v>
      </c>
      <c r="I53" s="66">
        <f aca="true" t="shared" si="69" ref="I53:I58">D53*1/(1+IRdiscount)^Year2</f>
        <v>444.9982200071199</v>
      </c>
      <c r="J53" s="66">
        <f aca="true" t="shared" si="70" ref="J53:J58">D53*1/(1+IRdiscount)^Year3</f>
        <v>419.8096415161508</v>
      </c>
      <c r="K53" s="66">
        <f aca="true" t="shared" si="71" ref="K53:K58">D53*1/(1+IRdiscount)^Year4</f>
        <v>396.0468316190102</v>
      </c>
      <c r="L53" s="66">
        <f aca="true" t="shared" si="72" ref="L53:L58">D53*1/(1+IRdiscount)^Year5</f>
        <v>373.6290864330284</v>
      </c>
      <c r="M53" s="66">
        <f aca="true" t="shared" si="73" ref="M53:M58">D53*1/(1+IRdiscount)^Year6</f>
        <v>352.48027021983813</v>
      </c>
      <c r="N53" s="66">
        <f aca="true" t="shared" si="74" ref="N53:N58">D53*1/(1+IRdiscount)^Year7</f>
        <v>332.528556811168</v>
      </c>
      <c r="O53" s="66">
        <f aca="true" t="shared" si="75" ref="O53:O58">D53*1/(1+IRdiscount)^Year8</f>
        <v>313.70618567091327</v>
      </c>
      <c r="P53" s="66">
        <f aca="true" t="shared" si="76" ref="P53:P58">D53*1/(1+IRdiscount)^Year9</f>
        <v>295.9492317650125</v>
      </c>
      <c r="Q53" s="4">
        <f aca="true" t="shared" si="77" ref="Q53:Q58">D53*1/(1+IRdiscount)^Year10</f>
        <v>279.19738845755893</v>
      </c>
    </row>
    <row r="54" spans="1:17" ht="16.5">
      <c r="A54" s="15"/>
      <c r="B54" s="19" t="s">
        <v>16</v>
      </c>
      <c r="C54" s="19">
        <f>IF(CapCostPellet+InsulationCost-EECAsubInsl-EECAsubCH&gt;IFmaxSub,IFmaxSub,InsulationCost+CapCostPellet-EECAsubInsl-EECAsubCH)</f>
        <v>5000</v>
      </c>
      <c r="D54" s="19">
        <f t="shared" si="65"/>
        <v>500</v>
      </c>
      <c r="E54" s="2">
        <f>IF(CapCostPellet+InsulationCost-EECAsubInsl-EECAsubCH&gt;IFmaxSub,InsulationCost+CapCostPellet-EECAsubInsl-EECAsubCH-IFmaxSub,0)</f>
        <v>1075</v>
      </c>
      <c r="F54" s="61">
        <f t="shared" si="66"/>
        <v>5255.043525707348</v>
      </c>
      <c r="G54" s="9">
        <f t="shared" si="67"/>
        <v>500</v>
      </c>
      <c r="H54" s="66">
        <f t="shared" si="68"/>
        <v>471.6981132075471</v>
      </c>
      <c r="I54" s="66">
        <f t="shared" si="69"/>
        <v>444.9982200071199</v>
      </c>
      <c r="J54" s="66">
        <f t="shared" si="70"/>
        <v>419.8096415161508</v>
      </c>
      <c r="K54" s="66">
        <f t="shared" si="71"/>
        <v>396.0468316190102</v>
      </c>
      <c r="L54" s="66">
        <f t="shared" si="72"/>
        <v>373.6290864330284</v>
      </c>
      <c r="M54" s="66">
        <f t="shared" si="73"/>
        <v>352.48027021983813</v>
      </c>
      <c r="N54" s="66">
        <f t="shared" si="74"/>
        <v>332.528556811168</v>
      </c>
      <c r="O54" s="66">
        <f t="shared" si="75"/>
        <v>313.70618567091327</v>
      </c>
      <c r="P54" s="66">
        <f t="shared" si="76"/>
        <v>295.9492317650125</v>
      </c>
      <c r="Q54" s="4">
        <f t="shared" si="77"/>
        <v>279.19738845755893</v>
      </c>
    </row>
    <row r="55" spans="1:17" ht="16.5">
      <c r="A55" s="15"/>
      <c r="B55" s="19" t="s">
        <v>17</v>
      </c>
      <c r="C55" s="19">
        <f>IF(CapCostHP+InsulationCost-EECAsubInsl-EECAsubCH&gt;IFmaxSub,IFmaxSub,InsulationCost+CapCostHP-EECAsubInsl-EECAsubCH)</f>
        <v>4575</v>
      </c>
      <c r="D55" s="19">
        <f t="shared" si="65"/>
        <v>457.5</v>
      </c>
      <c r="E55" s="2">
        <f>IF(CapCostHP+InsulationCost-EECAsubInsl-EECAsubCH&gt;IFmaxSub,InsulationCost+CapCostHP-EECAsubInsl-EECAsubCH-IFmaxSub,0)</f>
        <v>0</v>
      </c>
      <c r="F55" s="61">
        <f t="shared" si="66"/>
        <v>3824.7398260222226</v>
      </c>
      <c r="G55" s="9">
        <f t="shared" si="67"/>
        <v>457.5</v>
      </c>
      <c r="H55" s="66">
        <f t="shared" si="68"/>
        <v>431.60377358490564</v>
      </c>
      <c r="I55" s="66">
        <f t="shared" si="69"/>
        <v>407.1733713065147</v>
      </c>
      <c r="J55" s="66">
        <f t="shared" si="70"/>
        <v>384.125821987278</v>
      </c>
      <c r="K55" s="66">
        <f t="shared" si="71"/>
        <v>362.38285093139433</v>
      </c>
      <c r="L55" s="66">
        <f t="shared" si="72"/>
        <v>341.87061408622105</v>
      </c>
      <c r="M55" s="66">
        <f t="shared" si="73"/>
        <v>322.5194472511519</v>
      </c>
      <c r="N55" s="66">
        <f t="shared" si="74"/>
        <v>304.26362948221873</v>
      </c>
      <c r="O55" s="66">
        <f t="shared" si="75"/>
        <v>287.0411598888856</v>
      </c>
      <c r="P55" s="66">
        <f t="shared" si="76"/>
        <v>270.79354706498646</v>
      </c>
      <c r="Q55" s="4">
        <f t="shared" si="77"/>
        <v>255.46561043866643</v>
      </c>
    </row>
    <row r="56" spans="1:17" ht="16.5">
      <c r="A56" s="15"/>
      <c r="B56" s="19" t="s">
        <v>18</v>
      </c>
      <c r="C56" s="19">
        <f>IF(CapCostGas+InsulationCost-EECAsubInsl-EECAsubCH&gt;IFmaxSub,IFmaxSub,InsulationCost+CapCostGas-EECAsubInsl-EECAsubCH)</f>
        <v>5000</v>
      </c>
      <c r="D56" s="19">
        <f t="shared" si="65"/>
        <v>500</v>
      </c>
      <c r="E56" s="2">
        <f>IF(CapCostGas+InsulationCost-EECAsubInsl-EECAsubCH&gt;IFmaxSub,InsulationCost+CapCostGas-EECAsubInsl-EECAsubCH-IFmaxSub,0)</f>
        <v>75</v>
      </c>
      <c r="F56" s="61">
        <f t="shared" si="66"/>
        <v>4255.043525707348</v>
      </c>
      <c r="G56" s="9">
        <f t="shared" si="67"/>
        <v>500</v>
      </c>
      <c r="H56" s="66">
        <f t="shared" si="68"/>
        <v>471.6981132075471</v>
      </c>
      <c r="I56" s="66">
        <f t="shared" si="69"/>
        <v>444.9982200071199</v>
      </c>
      <c r="J56" s="66">
        <f t="shared" si="70"/>
        <v>419.8096415161508</v>
      </c>
      <c r="K56" s="66">
        <f t="shared" si="71"/>
        <v>396.0468316190102</v>
      </c>
      <c r="L56" s="66">
        <f t="shared" si="72"/>
        <v>373.6290864330284</v>
      </c>
      <c r="M56" s="66">
        <f t="shared" si="73"/>
        <v>352.48027021983813</v>
      </c>
      <c r="N56" s="66">
        <f t="shared" si="74"/>
        <v>332.528556811168</v>
      </c>
      <c r="O56" s="66">
        <f t="shared" si="75"/>
        <v>313.70618567091327</v>
      </c>
      <c r="P56" s="66">
        <f t="shared" si="76"/>
        <v>295.9492317650125</v>
      </c>
      <c r="Q56" s="4">
        <f t="shared" si="77"/>
        <v>279.19738845755893</v>
      </c>
    </row>
    <row r="57" spans="1:17" ht="16.5">
      <c r="A57" s="15"/>
      <c r="B57" s="19" t="s">
        <v>19</v>
      </c>
      <c r="C57" s="19">
        <f>IF(CapCostDiesel+InsulationCost-EECAsubInsl-EECAsubCH&gt;IFmaxSub,IFmaxSub,InsulationCost+CapCostDiesel-EECAsubInsl-EECAsubCH)</f>
        <v>5000</v>
      </c>
      <c r="D57" s="19">
        <f t="shared" si="65"/>
        <v>500</v>
      </c>
      <c r="E57" s="2">
        <f>IF(CapCostDiesel+InsulationCost-EECAsubInsl-EECAsubCH&gt;IFmaxSub,InsulationCost+CapCostDiesel-EECAsubInsl-EECAsubCH-IFmaxSub,0)</f>
        <v>775</v>
      </c>
      <c r="F57" s="61">
        <f t="shared" si="66"/>
        <v>4955.043525707348</v>
      </c>
      <c r="G57" s="9">
        <f t="shared" si="67"/>
        <v>500</v>
      </c>
      <c r="H57" s="66">
        <f t="shared" si="68"/>
        <v>471.6981132075471</v>
      </c>
      <c r="I57" s="66">
        <f t="shared" si="69"/>
        <v>444.9982200071199</v>
      </c>
      <c r="J57" s="66">
        <f t="shared" si="70"/>
        <v>419.8096415161508</v>
      </c>
      <c r="K57" s="66">
        <f t="shared" si="71"/>
        <v>396.0468316190102</v>
      </c>
      <c r="L57" s="66">
        <f t="shared" si="72"/>
        <v>373.6290864330284</v>
      </c>
      <c r="M57" s="66">
        <f t="shared" si="73"/>
        <v>352.48027021983813</v>
      </c>
      <c r="N57" s="66">
        <f t="shared" si="74"/>
        <v>332.528556811168</v>
      </c>
      <c r="O57" s="66">
        <f t="shared" si="75"/>
        <v>313.70618567091327</v>
      </c>
      <c r="P57" s="66">
        <f t="shared" si="76"/>
        <v>295.9492317650125</v>
      </c>
      <c r="Q57" s="4">
        <f t="shared" si="77"/>
        <v>279.19738845755893</v>
      </c>
    </row>
    <row r="58" spans="1:17" ht="16.5">
      <c r="A58" s="15"/>
      <c r="B58" s="19" t="s">
        <v>52</v>
      </c>
      <c r="C58" s="19">
        <f>IF(InsulationCost+AdminCost-EECAsubInsl&gt;IFmaxSub,IFmaxSub,InsulationCost+AdminCost-EECAsubInsl)</f>
        <v>2075</v>
      </c>
      <c r="D58" s="19">
        <f t="shared" si="65"/>
        <v>207.5</v>
      </c>
      <c r="E58" s="2">
        <f>IF(InsulationCost-EECAsubInsl&gt;IFmaxSub,InsulationCost-EECAsubInsl-IFmaxSub,0)</f>
        <v>0</v>
      </c>
      <c r="F58" s="61">
        <f t="shared" si="66"/>
        <v>1734.718063168549</v>
      </c>
      <c r="G58" s="9">
        <f t="shared" si="67"/>
        <v>207.5</v>
      </c>
      <c r="H58" s="66">
        <f t="shared" si="68"/>
        <v>195.75471698113208</v>
      </c>
      <c r="I58" s="66">
        <f t="shared" si="69"/>
        <v>184.67426130295476</v>
      </c>
      <c r="J58" s="66">
        <f t="shared" si="70"/>
        <v>174.22100122920259</v>
      </c>
      <c r="K58" s="66">
        <f t="shared" si="71"/>
        <v>164.35943512188922</v>
      </c>
      <c r="L58" s="66">
        <f t="shared" si="72"/>
        <v>155.05607086970682</v>
      </c>
      <c r="M58" s="66">
        <f t="shared" si="73"/>
        <v>146.27931214123282</v>
      </c>
      <c r="N58" s="66">
        <f t="shared" si="74"/>
        <v>137.99935107663472</v>
      </c>
      <c r="O58" s="66">
        <f t="shared" si="75"/>
        <v>130.188067053429</v>
      </c>
      <c r="P58" s="66">
        <f t="shared" si="76"/>
        <v>122.81893118248018</v>
      </c>
      <c r="Q58" s="4">
        <f t="shared" si="77"/>
        <v>115.86691620988697</v>
      </c>
    </row>
    <row r="59" spans="1:17" ht="16.5">
      <c r="A59" s="56" t="s">
        <v>48</v>
      </c>
      <c r="B59" s="57"/>
      <c r="C59" s="57"/>
      <c r="D59" s="57"/>
      <c r="E59" s="57" t="s">
        <v>47</v>
      </c>
      <c r="F59" s="58" t="s">
        <v>14</v>
      </c>
      <c r="G59" s="64"/>
      <c r="H59" s="64"/>
      <c r="I59" s="64"/>
      <c r="J59" s="64"/>
      <c r="K59" s="64"/>
      <c r="L59" s="64"/>
      <c r="M59" s="64"/>
      <c r="N59" s="64"/>
      <c r="O59" s="64"/>
      <c r="P59" s="64"/>
      <c r="Q59" s="65"/>
    </row>
    <row r="60" spans="1:17" ht="16.5">
      <c r="A60" s="15"/>
      <c r="B60" s="19" t="s">
        <v>15</v>
      </c>
      <c r="C60" s="19">
        <f>IF(CapCostWB+InsulationCost-EECAsubCSInsl-EECAsubCHcs&gt;IFmaxSub,IFmaxSub,InsulationCost+CapCostWB-EECAsubCSInsl-EECAsubCHcs)</f>
        <v>4200</v>
      </c>
      <c r="D60" s="19">
        <f aca="true" t="shared" si="78" ref="D60:D65">C60/10</f>
        <v>420</v>
      </c>
      <c r="E60" s="2">
        <f>IF(CapCostWB+InsulationCost-EECAsubCSInsl-EECAsubCHcs&gt;IFmaxSub,InsulationCost+CapCostWB-EECAsubCSInsl-EECAsubCHcs-IFmaxSub,0)</f>
        <v>0</v>
      </c>
      <c r="F60" s="61">
        <f aca="true" t="shared" si="79" ref="F60:F65">SUM(G60:Q60)+E60</f>
        <v>3511.2365615941712</v>
      </c>
      <c r="G60" s="9">
        <f aca="true" t="shared" si="80" ref="G60:G65">D60*1/(1+IRdiscount)^year0</f>
        <v>420</v>
      </c>
      <c r="H60" s="66">
        <f aca="true" t="shared" si="81" ref="H60:H65">D60*1/(1+IRdiscount)^Year1</f>
        <v>396.2264150943396</v>
      </c>
      <c r="I60" s="66">
        <f aca="true" t="shared" si="82" ref="I60:I65">D60*1/(1+IRdiscount)^Year2</f>
        <v>373.7985048059807</v>
      </c>
      <c r="J60" s="66">
        <f aca="true" t="shared" si="83" ref="J60:J65">D60*1/(1+IRdiscount)^Year3</f>
        <v>352.64009887356667</v>
      </c>
      <c r="K60" s="66">
        <f aca="true" t="shared" si="84" ref="K60:K65">D60*1/(1+IRdiscount)^Year4</f>
        <v>332.6793385599686</v>
      </c>
      <c r="L60" s="66">
        <f aca="true" t="shared" si="85" ref="L60:L65">D60*1/(1+IRdiscount)^Year5</f>
        <v>313.8484326037439</v>
      </c>
      <c r="M60" s="66">
        <f aca="true" t="shared" si="86" ref="M60:M65">D60*1/(1+IRdiscount)^Year6</f>
        <v>296.083426984664</v>
      </c>
      <c r="N60" s="66">
        <f aca="true" t="shared" si="87" ref="N60:N65">D60*1/(1+IRdiscount)^Year7</f>
        <v>279.3239877213811</v>
      </c>
      <c r="O60" s="66">
        <f aca="true" t="shared" si="88" ref="O60:O65">D60*1/(1+IRdiscount)^Year8</f>
        <v>263.5131959635671</v>
      </c>
      <c r="P60" s="66">
        <f aca="true" t="shared" si="89" ref="P60:P65">D60*1/(1+IRdiscount)^Year9</f>
        <v>248.5973546826105</v>
      </c>
      <c r="Q60" s="4">
        <f aca="true" t="shared" si="90" ref="Q60:Q65">D60*1/(1+IRdiscount)^Year10</f>
        <v>234.52580630434952</v>
      </c>
    </row>
    <row r="61" spans="1:17" ht="16.5">
      <c r="A61" s="15"/>
      <c r="B61" s="19" t="s">
        <v>16</v>
      </c>
      <c r="C61" s="19">
        <f>IF(CapCostPellet+InsulationCost-EECAsubCSInsl-EECAsubCHcs&gt;IFmaxSub,IFmaxSub,InsulationCost+CapCostPellet-EECAsubCSInsl-EECAsubCHcs)</f>
        <v>4700</v>
      </c>
      <c r="D61" s="19">
        <f t="shared" si="78"/>
        <v>470</v>
      </c>
      <c r="E61" s="2">
        <f>IF(CapCostPellet+InsulationCost-EECAsubCSInsl-EECAsubCHcs&gt;IFmaxSub,InsulationCost+CapCostPellet-EECAsubCSInsl-EECAsubCHcs-IFmaxSub,0)</f>
        <v>0</v>
      </c>
      <c r="F61" s="61">
        <f t="shared" si="79"/>
        <v>3929.240914164907</v>
      </c>
      <c r="G61" s="9">
        <f t="shared" si="80"/>
        <v>470</v>
      </c>
      <c r="H61" s="66">
        <f t="shared" si="81"/>
        <v>443.3962264150943</v>
      </c>
      <c r="I61" s="66">
        <f t="shared" si="82"/>
        <v>418.2983268066927</v>
      </c>
      <c r="J61" s="66">
        <f t="shared" si="83"/>
        <v>394.62106302518174</v>
      </c>
      <c r="K61" s="66">
        <f t="shared" si="84"/>
        <v>372.2840217218696</v>
      </c>
      <c r="L61" s="66">
        <f t="shared" si="85"/>
        <v>351.21134124704673</v>
      </c>
      <c r="M61" s="66">
        <f t="shared" si="86"/>
        <v>331.33145400664785</v>
      </c>
      <c r="N61" s="66">
        <f t="shared" si="87"/>
        <v>312.57684340249796</v>
      </c>
      <c r="O61" s="66">
        <f t="shared" si="88"/>
        <v>294.88381453065847</v>
      </c>
      <c r="P61" s="66">
        <f t="shared" si="89"/>
        <v>278.19227785911175</v>
      </c>
      <c r="Q61" s="4">
        <f t="shared" si="90"/>
        <v>262.4455451501054</v>
      </c>
    </row>
    <row r="62" spans="1:17" ht="16.5">
      <c r="A62" s="15"/>
      <c r="B62" s="19" t="s">
        <v>17</v>
      </c>
      <c r="C62" s="19">
        <f>IF(CapCostHP+InsulationCost-EECAsubCSInsl-EECAsubCHcs&gt;IFmaxSub,IFmaxSub,InsulationCost+CapCostHP-EECAsubCSInsl-EECAsubCHcs)</f>
        <v>3200</v>
      </c>
      <c r="D62" s="19">
        <f t="shared" si="78"/>
        <v>320</v>
      </c>
      <c r="E62" s="2">
        <f>IF(CapCostHP+InsulationCost-EECAsubCSInsl-EECAsubCHcs&gt;IFmaxSub,InsulationCost+CapCostHP-EECAsubCSInsl-EECAsubCHcs-IFmaxSub,0)</f>
        <v>0</v>
      </c>
      <c r="F62" s="61">
        <f t="shared" si="79"/>
        <v>2675.2278564527023</v>
      </c>
      <c r="G62" s="9">
        <f t="shared" si="80"/>
        <v>320</v>
      </c>
      <c r="H62" s="66">
        <f t="shared" si="81"/>
        <v>301.88679245283015</v>
      </c>
      <c r="I62" s="66">
        <f t="shared" si="82"/>
        <v>284.79886080455674</v>
      </c>
      <c r="J62" s="66">
        <f t="shared" si="83"/>
        <v>268.67817057033653</v>
      </c>
      <c r="K62" s="66">
        <f t="shared" si="84"/>
        <v>253.46997223616654</v>
      </c>
      <c r="L62" s="66">
        <f t="shared" si="85"/>
        <v>239.1226153171382</v>
      </c>
      <c r="M62" s="66">
        <f t="shared" si="86"/>
        <v>225.5873729406964</v>
      </c>
      <c r="N62" s="66">
        <f t="shared" si="87"/>
        <v>212.81827635914752</v>
      </c>
      <c r="O62" s="66">
        <f t="shared" si="88"/>
        <v>200.7719588293845</v>
      </c>
      <c r="P62" s="66">
        <f t="shared" si="89"/>
        <v>189.407508329608</v>
      </c>
      <c r="Q62" s="4">
        <f t="shared" si="90"/>
        <v>178.6863286128377</v>
      </c>
    </row>
    <row r="63" spans="1:17" ht="16.5">
      <c r="A63" s="15"/>
      <c r="B63" s="19" t="s">
        <v>18</v>
      </c>
      <c r="C63" s="19">
        <f>IF(CapCostGas+InsulationCost-EECAsubCSInsl-EECAsubCHcs&gt;IFmaxSub,IFmaxSub,InsulationCost+CapCostGas-EECAsubCSInsl-EECAsubCHcs)</f>
        <v>3700</v>
      </c>
      <c r="D63" s="19">
        <f t="shared" si="78"/>
        <v>370</v>
      </c>
      <c r="E63" s="2">
        <f>IF(CapCostGas+InsulationCost-EECAsubCSInsl-EECAsubCHcs&gt;IFmaxSub,InsulationCost+CapCostGas-EECAsubCSInsl-EECAsubCHcs-IFmaxSub,0)</f>
        <v>0</v>
      </c>
      <c r="F63" s="61">
        <f t="shared" si="79"/>
        <v>3093.232209023437</v>
      </c>
      <c r="G63" s="9">
        <f t="shared" si="80"/>
        <v>370</v>
      </c>
      <c r="H63" s="66">
        <f t="shared" si="81"/>
        <v>349.05660377358487</v>
      </c>
      <c r="I63" s="66">
        <f t="shared" si="82"/>
        <v>329.29868280526875</v>
      </c>
      <c r="J63" s="66">
        <f t="shared" si="83"/>
        <v>310.6591347219516</v>
      </c>
      <c r="K63" s="66">
        <f t="shared" si="84"/>
        <v>293.07465539806753</v>
      </c>
      <c r="L63" s="66">
        <f t="shared" si="85"/>
        <v>276.48552396044107</v>
      </c>
      <c r="M63" s="66">
        <f t="shared" si="86"/>
        <v>260.83539996268024</v>
      </c>
      <c r="N63" s="66">
        <f t="shared" si="87"/>
        <v>246.07113204026433</v>
      </c>
      <c r="O63" s="66">
        <f t="shared" si="88"/>
        <v>232.14257739647582</v>
      </c>
      <c r="P63" s="66">
        <f t="shared" si="89"/>
        <v>219.00243150610925</v>
      </c>
      <c r="Q63" s="4">
        <f t="shared" si="90"/>
        <v>206.60606745859363</v>
      </c>
    </row>
    <row r="64" spans="1:17" ht="16.5">
      <c r="A64" s="15"/>
      <c r="B64" s="19" t="s">
        <v>19</v>
      </c>
      <c r="C64" s="19">
        <f>IF(CapCostDiesel+InsulationCost-EECAsubCSInsl-EECAsubCHcs&gt;IFmaxSub,IFmaxSub,InsulationCost+CapCostDiesel-EECAsubCSInsl-EECAsubCHcs)</f>
        <v>4400</v>
      </c>
      <c r="D64" s="19">
        <f t="shared" si="78"/>
        <v>440</v>
      </c>
      <c r="E64" s="2">
        <f>IF(CapCostDiesel+InsulationCost-EECAsubCSInsl-EECAsubCHcs&gt;IFmaxSub,InsulationCost+CapCostDiesel-EECAsubCSInsl-EECAsubCHcs-IFmaxSub,0)</f>
        <v>0</v>
      </c>
      <c r="F64" s="61">
        <f t="shared" si="79"/>
        <v>3678.4383026224655</v>
      </c>
      <c r="G64" s="9">
        <f t="shared" si="80"/>
        <v>440</v>
      </c>
      <c r="H64" s="66">
        <f t="shared" si="81"/>
        <v>415.0943396226415</v>
      </c>
      <c r="I64" s="66">
        <f t="shared" si="82"/>
        <v>391.59843360626553</v>
      </c>
      <c r="J64" s="66">
        <f t="shared" si="83"/>
        <v>369.43248453421273</v>
      </c>
      <c r="K64" s="66">
        <f t="shared" si="84"/>
        <v>348.521211824729</v>
      </c>
      <c r="L64" s="66">
        <f t="shared" si="85"/>
        <v>328.79359606106505</v>
      </c>
      <c r="M64" s="66">
        <f t="shared" si="86"/>
        <v>310.18263779345756</v>
      </c>
      <c r="N64" s="66">
        <f t="shared" si="87"/>
        <v>292.62512999382784</v>
      </c>
      <c r="O64" s="66">
        <f t="shared" si="88"/>
        <v>276.06144339040367</v>
      </c>
      <c r="P64" s="66">
        <f t="shared" si="89"/>
        <v>260.435323953211</v>
      </c>
      <c r="Q64" s="4">
        <f t="shared" si="90"/>
        <v>245.69370184265188</v>
      </c>
    </row>
    <row r="65" spans="1:17" ht="16.5">
      <c r="A65" s="15"/>
      <c r="B65" s="19" t="s">
        <v>52</v>
      </c>
      <c r="C65" s="19">
        <f>IF(InsulationCost+AdminCost-EECAsubCSInsl&gt;IFmaxSub,IFmaxSub,InsulationCost+AdminCost-EECAsubCSInsl)</f>
        <v>1400</v>
      </c>
      <c r="D65" s="19">
        <f t="shared" si="78"/>
        <v>140</v>
      </c>
      <c r="E65" s="2">
        <f>IF(InsulationCost-EECAsubCSInsl&gt;IFmaxSub,InsulationCost-EECAsubCSInsl-IFmaxSub,0)</f>
        <v>0</v>
      </c>
      <c r="F65" s="61">
        <f t="shared" si="79"/>
        <v>1170.4121871980572</v>
      </c>
      <c r="G65" s="9">
        <f t="shared" si="80"/>
        <v>140</v>
      </c>
      <c r="H65" s="66">
        <f t="shared" si="81"/>
        <v>132.0754716981132</v>
      </c>
      <c r="I65" s="66">
        <f t="shared" si="82"/>
        <v>124.59950160199358</v>
      </c>
      <c r="J65" s="66">
        <f t="shared" si="83"/>
        <v>117.54669962452223</v>
      </c>
      <c r="K65" s="66">
        <f t="shared" si="84"/>
        <v>110.89311285332286</v>
      </c>
      <c r="L65" s="66">
        <f t="shared" si="85"/>
        <v>104.61614420124796</v>
      </c>
      <c r="M65" s="66">
        <f t="shared" si="86"/>
        <v>98.69447566155468</v>
      </c>
      <c r="N65" s="66">
        <f t="shared" si="87"/>
        <v>93.10799590712705</v>
      </c>
      <c r="O65" s="66">
        <f t="shared" si="88"/>
        <v>87.8377319878557</v>
      </c>
      <c r="P65" s="66">
        <f t="shared" si="89"/>
        <v>82.8657848942035</v>
      </c>
      <c r="Q65" s="4">
        <f t="shared" si="90"/>
        <v>78.1752687681165</v>
      </c>
    </row>
    <row r="66" spans="1:17" ht="16.5">
      <c r="A66" s="56" t="s">
        <v>49</v>
      </c>
      <c r="B66" s="57"/>
      <c r="C66" s="57"/>
      <c r="D66" s="57"/>
      <c r="E66" s="57" t="s">
        <v>47</v>
      </c>
      <c r="F66" s="58" t="s">
        <v>14</v>
      </c>
      <c r="G66" s="64"/>
      <c r="H66" s="64"/>
      <c r="I66" s="64"/>
      <c r="J66" s="64"/>
      <c r="K66" s="64"/>
      <c r="L66" s="64"/>
      <c r="M66" s="64"/>
      <c r="N66" s="64"/>
      <c r="O66" s="64"/>
      <c r="P66" s="64"/>
      <c r="Q66" s="65"/>
    </row>
    <row r="67" spans="1:17" ht="16.5">
      <c r="A67" s="15"/>
      <c r="B67" s="19" t="s">
        <v>15</v>
      </c>
      <c r="C67" s="19">
        <f>IF(CapCostWB+InsulationCost-EECAsubCSInsl-EECAsubCHtenCS&gt;IFmaxSub,IFmaxSub,InsulationCost+CapCostWB-EECAsubCSInsl-EECAsubCHtenCS)</f>
        <v>4900</v>
      </c>
      <c r="D67" s="19">
        <f aca="true" t="shared" si="91" ref="D67:D72">C67/10</f>
        <v>490</v>
      </c>
      <c r="E67" s="2">
        <f>IF(CapCostWB+InsulationCost-EECAsubtencsInsl-EECAsubCHtenCS&gt;IFmaxSub,InsulationCost+CapCostWB-EECAsubtencsInsl-EECAsubCHtenCS-IFmaxSub,0)</f>
        <v>0</v>
      </c>
      <c r="F67" s="61">
        <f aca="true" t="shared" si="92" ref="F67:F72">SUM(G67:Q67)+E67</f>
        <v>4096.442655193201</v>
      </c>
      <c r="G67" s="9">
        <f aca="true" t="shared" si="93" ref="G67:G72">D67*1/(1+IRdiscount)^year0</f>
        <v>490</v>
      </c>
      <c r="H67" s="66">
        <f aca="true" t="shared" si="94" ref="H67:H72">D67*1/(1+IRdiscount)^Year1</f>
        <v>462.2641509433962</v>
      </c>
      <c r="I67" s="66">
        <f aca="true" t="shared" si="95" ref="I67:I72">D67*1/(1+IRdiscount)^Year2</f>
        <v>436.0982556069775</v>
      </c>
      <c r="J67" s="66">
        <f aca="true" t="shared" si="96" ref="J67:J72">D67*1/(1+IRdiscount)^Year3</f>
        <v>411.4134486858278</v>
      </c>
      <c r="K67" s="66">
        <f aca="true" t="shared" si="97" ref="K67:K72">D67*1/(1+IRdiscount)^Year4</f>
        <v>388.12589498663</v>
      </c>
      <c r="L67" s="66">
        <f aca="true" t="shared" si="98" ref="L67:L72">D67*1/(1+IRdiscount)^Year5</f>
        <v>366.1565047043679</v>
      </c>
      <c r="M67" s="66">
        <f aca="true" t="shared" si="99" ref="M67:M72">D67*1/(1+IRdiscount)^Year6</f>
        <v>345.4306648154414</v>
      </c>
      <c r="N67" s="66">
        <f aca="true" t="shared" si="100" ref="N67:N72">D67*1/(1+IRdiscount)^Year7</f>
        <v>325.8779856749446</v>
      </c>
      <c r="O67" s="66">
        <f aca="true" t="shared" si="101" ref="O67:O72">D67*1/(1+IRdiscount)^Year8</f>
        <v>307.43206195749497</v>
      </c>
      <c r="P67" s="66">
        <f aca="true" t="shared" si="102" ref="P67:P72">D67*1/(1+IRdiscount)^Year9</f>
        <v>290.0302471297123</v>
      </c>
      <c r="Q67" s="4">
        <f aca="true" t="shared" si="103" ref="Q67:Q72">D67*1/(1+IRdiscount)^Year10</f>
        <v>273.61344068840776</v>
      </c>
    </row>
    <row r="68" spans="1:17" ht="16.5">
      <c r="A68" s="15"/>
      <c r="B68" s="19" t="s">
        <v>16</v>
      </c>
      <c r="C68" s="19">
        <f>IF(CapCostPellet+InsulationCost-EECAsubCSInsl-EECAsubCHtenCS&gt;IFmaxSub,IFmaxSub,InsulationCost+CapCostPellet-EECAsubCSInsl-EECAsubCHtenCS)</f>
        <v>5000</v>
      </c>
      <c r="D68" s="19">
        <f t="shared" si="91"/>
        <v>500</v>
      </c>
      <c r="E68" s="2">
        <f>IF(CapCostPellet+InsulationCost-EECAsubtencsInsl-EECAsubCHtenCS&gt;IFmaxSub,InsulationCost+CapCostPellet-EECAsubtencsInsl-EECAsubCHtenCS-IFmaxSub,0)</f>
        <v>400</v>
      </c>
      <c r="F68" s="61">
        <f t="shared" si="92"/>
        <v>4580.043525707348</v>
      </c>
      <c r="G68" s="9">
        <f t="shared" si="93"/>
        <v>500</v>
      </c>
      <c r="H68" s="66">
        <f t="shared" si="94"/>
        <v>471.6981132075471</v>
      </c>
      <c r="I68" s="66">
        <f t="shared" si="95"/>
        <v>444.9982200071199</v>
      </c>
      <c r="J68" s="66">
        <f t="shared" si="96"/>
        <v>419.8096415161508</v>
      </c>
      <c r="K68" s="66">
        <f t="shared" si="97"/>
        <v>396.0468316190102</v>
      </c>
      <c r="L68" s="66">
        <f t="shared" si="98"/>
        <v>373.6290864330284</v>
      </c>
      <c r="M68" s="66">
        <f t="shared" si="99"/>
        <v>352.48027021983813</v>
      </c>
      <c r="N68" s="66">
        <f t="shared" si="100"/>
        <v>332.528556811168</v>
      </c>
      <c r="O68" s="66">
        <f t="shared" si="101"/>
        <v>313.70618567091327</v>
      </c>
      <c r="P68" s="66">
        <f t="shared" si="102"/>
        <v>295.9492317650125</v>
      </c>
      <c r="Q68" s="4">
        <f t="shared" si="103"/>
        <v>279.19738845755893</v>
      </c>
    </row>
    <row r="69" spans="1:17" ht="16.5">
      <c r="A69" s="15"/>
      <c r="B69" s="19" t="s">
        <v>17</v>
      </c>
      <c r="C69" s="19">
        <f>IF(CapCostHP+InsulationCost-EECAsubCSInsl-EECAsubCHtenCS&gt;IFmaxSub,IFmaxSub,InsulationCost+CapCostHP-EECAsubCSInsl-EECAsubCHtenCS)</f>
        <v>3900</v>
      </c>
      <c r="D69" s="19">
        <f t="shared" si="91"/>
        <v>390</v>
      </c>
      <c r="E69" s="2">
        <f>IF(CapCostHP+InsulationCost-EECAsubtencsInsl-EECAsubCHtenCS&gt;IFmaxSub,InsulationCost+CapCostHP-EECAsubtencsInsl-EECAsubCHtenCS-IFmaxSub,0)</f>
        <v>0</v>
      </c>
      <c r="F69" s="61">
        <f t="shared" si="92"/>
        <v>3260.433950051731</v>
      </c>
      <c r="G69" s="9">
        <f t="shared" si="93"/>
        <v>390</v>
      </c>
      <c r="H69" s="66">
        <f t="shared" si="94"/>
        <v>367.92452830188677</v>
      </c>
      <c r="I69" s="66">
        <f t="shared" si="95"/>
        <v>347.0986116055535</v>
      </c>
      <c r="J69" s="66">
        <f t="shared" si="96"/>
        <v>327.4515203825976</v>
      </c>
      <c r="K69" s="66">
        <f t="shared" si="97"/>
        <v>308.91652866282794</v>
      </c>
      <c r="L69" s="66">
        <f t="shared" si="98"/>
        <v>291.4306874177622</v>
      </c>
      <c r="M69" s="66">
        <f t="shared" si="99"/>
        <v>274.93461077147373</v>
      </c>
      <c r="N69" s="66">
        <f t="shared" si="100"/>
        <v>259.37227431271106</v>
      </c>
      <c r="O69" s="66">
        <f t="shared" si="101"/>
        <v>244.69082482331234</v>
      </c>
      <c r="P69" s="66">
        <f t="shared" si="102"/>
        <v>230.84040077670974</v>
      </c>
      <c r="Q69" s="4">
        <f t="shared" si="103"/>
        <v>217.77396299689596</v>
      </c>
    </row>
    <row r="70" spans="1:17" ht="16.5">
      <c r="A70" s="15"/>
      <c r="B70" s="19" t="s">
        <v>18</v>
      </c>
      <c r="C70" s="19">
        <f>IF(CapCostGas+InsulationCost-EECAsubCSInsl-EECAsubCHtenCS&gt;IFmaxSub,IFmaxSub,InsulationCost+CapCostGas-EECAsubCSInsl-EECAsubCHtenCS)</f>
        <v>4400</v>
      </c>
      <c r="D70" s="19">
        <f t="shared" si="91"/>
        <v>440</v>
      </c>
      <c r="E70" s="2">
        <f>IF(CapCostGas+InsulationCost-EECAsubtencsInsl-EECAsubCHtenCS&gt;IFmaxSub,InsulationCost+CapCostGas-EECAsubtencsInsl-EECAsubCHtenCS-IFmaxSub,0)</f>
        <v>0</v>
      </c>
      <c r="F70" s="61">
        <f t="shared" si="92"/>
        <v>3678.4383026224655</v>
      </c>
      <c r="G70" s="9">
        <f t="shared" si="93"/>
        <v>440</v>
      </c>
      <c r="H70" s="66">
        <f t="shared" si="94"/>
        <v>415.0943396226415</v>
      </c>
      <c r="I70" s="66">
        <f t="shared" si="95"/>
        <v>391.59843360626553</v>
      </c>
      <c r="J70" s="66">
        <f t="shared" si="96"/>
        <v>369.43248453421273</v>
      </c>
      <c r="K70" s="66">
        <f t="shared" si="97"/>
        <v>348.521211824729</v>
      </c>
      <c r="L70" s="66">
        <f t="shared" si="98"/>
        <v>328.79359606106505</v>
      </c>
      <c r="M70" s="66">
        <f t="shared" si="99"/>
        <v>310.18263779345756</v>
      </c>
      <c r="N70" s="66">
        <f t="shared" si="100"/>
        <v>292.62512999382784</v>
      </c>
      <c r="O70" s="66">
        <f t="shared" si="101"/>
        <v>276.06144339040367</v>
      </c>
      <c r="P70" s="66">
        <f t="shared" si="102"/>
        <v>260.435323953211</v>
      </c>
      <c r="Q70" s="4">
        <f t="shared" si="103"/>
        <v>245.69370184265188</v>
      </c>
    </row>
    <row r="71" spans="1:17" ht="16.5">
      <c r="A71" s="15"/>
      <c r="B71" s="19" t="s">
        <v>19</v>
      </c>
      <c r="C71" s="19">
        <f>IF(CapCostDiesel+InsulationCost-EECAsubCSInsl-EECAsubCHtenCS&gt;IFmaxSub,IFmaxSub,InsulationCost+CapCostDiesel-EECAsubCSInsl-EECAsubCHtenCS)</f>
        <v>5000</v>
      </c>
      <c r="D71" s="19">
        <f t="shared" si="91"/>
        <v>500</v>
      </c>
      <c r="E71" s="2">
        <f>IF(CapCostDiesel+InsulationCost-EECAsubtencsInsl-EECAsubCHtenCS&gt;IFmaxSub,InsulationCost+CapCostDiesel-EECAsubtencsInsl-EECAsubCHtenCS-IFmaxSub,0)</f>
        <v>100</v>
      </c>
      <c r="F71" s="61">
        <f t="shared" si="92"/>
        <v>4280.043525707348</v>
      </c>
      <c r="G71" s="9">
        <f t="shared" si="93"/>
        <v>500</v>
      </c>
      <c r="H71" s="66">
        <f t="shared" si="94"/>
        <v>471.6981132075471</v>
      </c>
      <c r="I71" s="66">
        <f t="shared" si="95"/>
        <v>444.9982200071199</v>
      </c>
      <c r="J71" s="66">
        <f t="shared" si="96"/>
        <v>419.8096415161508</v>
      </c>
      <c r="K71" s="66">
        <f t="shared" si="97"/>
        <v>396.0468316190102</v>
      </c>
      <c r="L71" s="66">
        <f t="shared" si="98"/>
        <v>373.6290864330284</v>
      </c>
      <c r="M71" s="66">
        <f t="shared" si="99"/>
        <v>352.48027021983813</v>
      </c>
      <c r="N71" s="66">
        <f t="shared" si="100"/>
        <v>332.528556811168</v>
      </c>
      <c r="O71" s="66">
        <f t="shared" si="101"/>
        <v>313.70618567091327</v>
      </c>
      <c r="P71" s="66">
        <f t="shared" si="102"/>
        <v>295.9492317650125</v>
      </c>
      <c r="Q71" s="4">
        <f t="shared" si="103"/>
        <v>279.19738845755893</v>
      </c>
    </row>
    <row r="72" spans="1:17" ht="17.25" thickBot="1">
      <c r="A72" s="21"/>
      <c r="B72" s="22" t="s">
        <v>52</v>
      </c>
      <c r="C72" s="22">
        <f>IF(InsulationCost+AdminCost-EECAsubCSInsl&gt;IFmaxSub,IFmaxSub,InsulationCost+AdminCost-EECAsubCSInsl)</f>
        <v>1400</v>
      </c>
      <c r="D72" s="22">
        <f t="shared" si="91"/>
        <v>140</v>
      </c>
      <c r="E72" s="27">
        <f>IF(InsulationCost-EECAsubtencsInsl&gt;IFmaxSub,InsulationCost-EECAsubtencsInsl-IFmaxSub,0)</f>
        <v>0</v>
      </c>
      <c r="F72" s="62">
        <f t="shared" si="92"/>
        <v>1170.4121871980572</v>
      </c>
      <c r="G72" s="67">
        <f t="shared" si="93"/>
        <v>140</v>
      </c>
      <c r="H72" s="68">
        <f t="shared" si="94"/>
        <v>132.0754716981132</v>
      </c>
      <c r="I72" s="68">
        <f t="shared" si="95"/>
        <v>124.59950160199358</v>
      </c>
      <c r="J72" s="68">
        <f t="shared" si="96"/>
        <v>117.54669962452223</v>
      </c>
      <c r="K72" s="68">
        <f t="shared" si="97"/>
        <v>110.89311285332286</v>
      </c>
      <c r="L72" s="68">
        <f t="shared" si="98"/>
        <v>104.61614420124796</v>
      </c>
      <c r="M72" s="68">
        <f t="shared" si="99"/>
        <v>98.69447566155468</v>
      </c>
      <c r="N72" s="68">
        <f t="shared" si="100"/>
        <v>93.10799590712705</v>
      </c>
      <c r="O72" s="68">
        <f t="shared" si="101"/>
        <v>87.8377319878557</v>
      </c>
      <c r="P72" s="68">
        <f t="shared" si="102"/>
        <v>82.8657848942035</v>
      </c>
      <c r="Q72" s="69">
        <f t="shared" si="103"/>
        <v>78.1752687681165</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dc:creator>
  <cp:keywords/>
  <dc:description/>
  <cp:lastModifiedBy>Emily</cp:lastModifiedBy>
  <cp:lastPrinted>2010-03-24T22:08:36Z</cp:lastPrinted>
  <dcterms:created xsi:type="dcterms:W3CDTF">2010-03-01T01:42:50Z</dcterms:created>
  <dcterms:modified xsi:type="dcterms:W3CDTF">2010-09-24T03:06:40Z</dcterms:modified>
  <cp:category/>
  <cp:version/>
  <cp:contentType/>
  <cp:contentStatus/>
</cp:coreProperties>
</file>